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airports-my.sharepoint.com/personal/maliga_airports_co_za/Documents/TENDERS Cat Mng/2026-2027/PFC Equip Replacement KSIA - Tini assisting/Final Docs/"/>
    </mc:Choice>
  </mc:AlternateContent>
  <xr:revisionPtr revIDLastSave="0" documentId="8_{FB0921CF-FBC1-4625-8F2D-77FE695722AF}" xr6:coauthVersionLast="47" xr6:coauthVersionMax="47" xr10:uidLastSave="{00000000-0000-0000-0000-000000000000}"/>
  <bookViews>
    <workbookView xWindow="-110" yWindow="-110" windowWidth="19420" windowHeight="10300" tabRatio="836" activeTab="18" xr2:uid="{00000000-000D-0000-FFFF-FFFF00000000}"/>
  </bookViews>
  <sheets>
    <sheet name="SUMMARY" sheetId="1" r:id="rId1"/>
    <sheet name="SECTION 1-P&amp;G" sheetId="2" r:id="rId2"/>
    <sheet name="SECT 2- L Block Old " sheetId="3" state="hidden" r:id="rId3"/>
    <sheet name="SECT 2- L Block Old - 0 PV" sheetId="4" state="hidden" r:id="rId4"/>
    <sheet name="SECT 2- L Block Old - 0PV&amp;2.5hr" sheetId="5" state="hidden" r:id="rId5"/>
    <sheet name="SECT 2- L Block New" sheetId="6" state="hidden" r:id="rId6"/>
    <sheet name="SECT 2- L Block New - 0PV" sheetId="7" state="hidden" r:id="rId7"/>
    <sheet name="SECT 2- L Block New - 0PV&amp;2.5hr" sheetId="8" state="hidden" r:id="rId8"/>
    <sheet name="SECT 2- N Block" sheetId="9" state="hidden" r:id="rId9"/>
    <sheet name="SECT 2- N Block 0PV&amp;2.5hr" sheetId="10" state="hidden" r:id="rId10"/>
    <sheet name="SECT 2- MSP LV SR" sheetId="11" r:id="rId11"/>
    <sheet name="SECT 3 - ATC LV SR" sheetId="12" r:id="rId12"/>
    <sheet name="SECT 4- AIRSIDE SS 1" sheetId="13" r:id="rId13"/>
    <sheet name="SECT 5- AIRSIDE SS 2" sheetId="14" r:id="rId14"/>
    <sheet name="SECT 6- AIRSIDE SS 3" sheetId="15" r:id="rId15"/>
    <sheet name="SECT 7- AIRSIDE SS 4" sheetId="16" r:id="rId16"/>
    <sheet name="SECT 8- TERMINAL BDG SS A2" sheetId="17" r:id="rId17"/>
    <sheet name="SECT 9- SKY TANK FSD 2" sheetId="18" r:id="rId18"/>
    <sheet name="SECT 10 - SKY TANK FFD" sheetId="19" r:id="rId19"/>
    <sheet name="SECT 11 - GENERAL" sheetId="20" r:id="rId20"/>
    <sheet name="SECT 2- NW Block" sheetId="21" state="hidden" r:id="rId21"/>
    <sheet name="SECT 2- NW Block - 0 PV" sheetId="22" state="hidden" r:id="rId22"/>
    <sheet name="SECT 2- NW Block - 0PV&amp;2.5hr" sheetId="23" state="hidden" r:id="rId23"/>
    <sheet name="SECT 2- D Block" sheetId="24" state="hidden" r:id="rId24"/>
    <sheet name="SECT 2- D Block -0 PV" sheetId="25" state="hidden" r:id="rId25"/>
    <sheet name="SECT 2- D Block -0PV&amp;2.5hr" sheetId="26" state="hidden" r:id="rId26"/>
    <sheet name="SECT 2- C Block Max PV + Bat" sheetId="27" state="hidden" r:id="rId27"/>
    <sheet name="SECT 2- C Block 0 PV+4h Bat" sheetId="28" state="hidden" r:id="rId28"/>
    <sheet name="SECT 2- C Block 0 PV&amp;Bat 2.5h" sheetId="29" state="hidden" r:id="rId29"/>
    <sheet name="SECT 2- C Block MaxPV&amp;Bat 2.5hr" sheetId="30" state="hidden" r:id="rId30"/>
    <sheet name="SECT 2- Old Engineering Block" sheetId="31" state="hidden" r:id="rId31"/>
    <sheet name="SECT 2- Old Engineering 2.5hr" sheetId="32" state="hidden" r:id="rId32"/>
    <sheet name="SECT 2- Old Engineering 0PV&amp;2.5" sheetId="33" state="hidden" r:id="rId33"/>
  </sheets>
  <externalReferences>
    <externalReference r:id="rId34"/>
  </externalReferences>
  <definedNames>
    <definedName name="_xlnm.Print_Area" localSheetId="18">'SECT 10 - SKY TANK FFD'!$B$1:$K$75</definedName>
    <definedName name="_xlnm.Print_Area" localSheetId="19">'SECT 11 - GENERAL'!$B$1:$K$29</definedName>
    <definedName name="_xlnm.Print_Area" localSheetId="28">'SECT 2- C Block 0 PV&amp;Bat 2.5h'!$A$1:$O$159</definedName>
    <definedName name="_xlnm.Print_Area" localSheetId="27">'SECT 2- C Block 0 PV+4h Bat'!$A$1:$O$159</definedName>
    <definedName name="_xlnm.Print_Area" localSheetId="26">'SECT 2- C Block Max PV + Bat'!$A$1:$O$159</definedName>
    <definedName name="_xlnm.Print_Area" localSheetId="29">'SECT 2- C Block MaxPV&amp;Bat 2.5hr'!$A$1:$O$159</definedName>
    <definedName name="_xlnm.Print_Area" localSheetId="23">'SECT 2- D Block'!$A$1:$O$152</definedName>
    <definedName name="_xlnm.Print_Area" localSheetId="24">'SECT 2- D Block -0 PV'!$A$1:$O$152</definedName>
    <definedName name="_xlnm.Print_Area" localSheetId="25">'SECT 2- D Block -0PV&amp;2.5hr'!$A$1:$O$152</definedName>
    <definedName name="_xlnm.Print_Area" localSheetId="5">'SECT 2- L Block New'!$A$1:$O$152</definedName>
    <definedName name="_xlnm.Print_Area" localSheetId="6">'SECT 2- L Block New - 0PV'!$A$1:$O$152</definedName>
    <definedName name="_xlnm.Print_Area" localSheetId="7">'SECT 2- L Block New - 0PV&amp;2.5hr'!$A$1:$O$152</definedName>
    <definedName name="_xlnm.Print_Area" localSheetId="2">'SECT 2- L Block Old '!$A$1:$R$151</definedName>
    <definedName name="_xlnm.Print_Area" localSheetId="3">'SECT 2- L Block Old - 0 PV'!$A$1:$R$151</definedName>
    <definedName name="_xlnm.Print_Area" localSheetId="4">'SECT 2- L Block Old - 0PV&amp;2.5hr'!$A$1:$R$151</definedName>
    <definedName name="_xlnm.Print_Area" localSheetId="10">'SECT 2- MSP LV SR'!$B$1:$K$84</definedName>
    <definedName name="_xlnm.Print_Area" localSheetId="8">'SECT 2- N Block'!$A$1:$O$154</definedName>
    <definedName name="_xlnm.Print_Area" localSheetId="9">'SECT 2- N Block 0PV&amp;2.5hr'!$A$1:$O$154</definedName>
    <definedName name="_xlnm.Print_Area" localSheetId="20">'SECT 2- NW Block'!$A$1:$O$152</definedName>
    <definedName name="_xlnm.Print_Area" localSheetId="21">'SECT 2- NW Block - 0 PV'!$A$1:$O$152</definedName>
    <definedName name="_xlnm.Print_Area" localSheetId="22">'SECT 2- NW Block - 0PV&amp;2.5hr'!$A$1:$O$152</definedName>
    <definedName name="_xlnm.Print_Area" localSheetId="32">'SECT 2- Old Engineering 0PV&amp;2.5'!$A$1:$O$160</definedName>
    <definedName name="_xlnm.Print_Area" localSheetId="31">'SECT 2- Old Engineering 2.5hr'!$A$1:$O$160</definedName>
    <definedName name="_xlnm.Print_Area" localSheetId="30">'SECT 2- Old Engineering Block'!$A$1:$O$161</definedName>
    <definedName name="_xlnm.Print_Area" localSheetId="11">'SECT 3 - ATC LV SR'!$B$1:$K$78</definedName>
    <definedName name="_xlnm.Print_Area" localSheetId="12">'SECT 4- AIRSIDE SS 1'!$B$1:$K$83</definedName>
    <definedName name="_xlnm.Print_Area" localSheetId="13">'SECT 5- AIRSIDE SS 2'!$B$1:$K$79</definedName>
    <definedName name="_xlnm.Print_Area" localSheetId="14">'SECT 6- AIRSIDE SS 3'!$B$1:$K$72</definedName>
    <definedName name="_xlnm.Print_Area" localSheetId="15">'SECT 7- AIRSIDE SS 4'!$B$1:$K$87</definedName>
    <definedName name="_xlnm.Print_Area" localSheetId="16">'SECT 8- TERMINAL BDG SS A2'!$B$1:$K$92</definedName>
    <definedName name="_xlnm.Print_Area" localSheetId="17">'SECT 9- SKY TANK FSD 2'!$B$1:$K$90</definedName>
    <definedName name="_xlnm.Print_Area" localSheetId="1">'SECTION 1-P&amp;G'!$B$2:$I$38</definedName>
    <definedName name="_xlnm.Print_Area" localSheetId="0">SUMMARY!$C$1:$H$39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54" i="33" l="1"/>
  <c r="E154" i="33"/>
  <c r="G154" i="33" s="1"/>
  <c r="L154" i="33" s="1"/>
  <c r="M154" i="33" s="1"/>
  <c r="K153" i="33"/>
  <c r="K152" i="33"/>
  <c r="K150" i="33"/>
  <c r="E150" i="33"/>
  <c r="G150" i="33" s="1"/>
  <c r="L150" i="33" s="1"/>
  <c r="M150" i="33" s="1"/>
  <c r="K149" i="33"/>
  <c r="E149" i="33"/>
  <c r="G149" i="33" s="1"/>
  <c r="L149" i="33" s="1"/>
  <c r="M149" i="33" s="1"/>
  <c r="K148" i="33"/>
  <c r="K146" i="33"/>
  <c r="E146" i="33"/>
  <c r="G146" i="33" s="1"/>
  <c r="L146" i="33" s="1"/>
  <c r="M146" i="33" s="1"/>
  <c r="K145" i="33"/>
  <c r="K143" i="33"/>
  <c r="G143" i="33"/>
  <c r="L143" i="33" s="1"/>
  <c r="M143" i="33" s="1"/>
  <c r="K142" i="33"/>
  <c r="K140" i="33"/>
  <c r="H139" i="33"/>
  <c r="K139" i="33" s="1"/>
  <c r="G139" i="33"/>
  <c r="L139" i="33" s="1"/>
  <c r="M139" i="33" s="1"/>
  <c r="J135" i="33"/>
  <c r="K135" i="33" s="1"/>
  <c r="E135" i="33"/>
  <c r="G135" i="33" s="1"/>
  <c r="L135" i="33" s="1"/>
  <c r="M135" i="33" s="1"/>
  <c r="H134" i="33"/>
  <c r="J134" i="33" s="1"/>
  <c r="K134" i="33" s="1"/>
  <c r="E134" i="33"/>
  <c r="G134" i="33" s="1"/>
  <c r="L134" i="33" s="1"/>
  <c r="M134" i="33" s="1"/>
  <c r="H133" i="33"/>
  <c r="J133" i="33" s="1"/>
  <c r="K133" i="33" s="1"/>
  <c r="G133" i="33"/>
  <c r="L133" i="33" s="1"/>
  <c r="M133" i="33" s="1"/>
  <c r="H132" i="33"/>
  <c r="J132" i="33" s="1"/>
  <c r="K132" i="33" s="1"/>
  <c r="G132" i="33"/>
  <c r="L132" i="33" s="1"/>
  <c r="M132" i="33" s="1"/>
  <c r="H126" i="33"/>
  <c r="J126" i="33" s="1"/>
  <c r="K126" i="33" s="1"/>
  <c r="G126" i="33"/>
  <c r="L126" i="33" s="1"/>
  <c r="M126" i="33" s="1"/>
  <c r="H122" i="33"/>
  <c r="J122" i="33" s="1"/>
  <c r="K122" i="33" s="1"/>
  <c r="E122" i="33"/>
  <c r="G122" i="33" s="1"/>
  <c r="L122" i="33" s="1"/>
  <c r="M122" i="33" s="1"/>
  <c r="H121" i="33"/>
  <c r="J121" i="33" s="1"/>
  <c r="K121" i="33" s="1"/>
  <c r="E121" i="33"/>
  <c r="G121" i="33" s="1"/>
  <c r="L121" i="33" s="1"/>
  <c r="M121" i="33" s="1"/>
  <c r="J115" i="33"/>
  <c r="K115" i="33" s="1"/>
  <c r="G115" i="33"/>
  <c r="L115" i="33" s="1"/>
  <c r="M115" i="33" s="1"/>
  <c r="J114" i="33"/>
  <c r="K114" i="33" s="1"/>
  <c r="G114" i="33"/>
  <c r="L114" i="33" s="1"/>
  <c r="M114" i="33" s="1"/>
  <c r="J113" i="33"/>
  <c r="K113" i="33" s="1"/>
  <c r="G113" i="33"/>
  <c r="L113" i="33" s="1"/>
  <c r="M113" i="33" s="1"/>
  <c r="J112" i="33"/>
  <c r="K112" i="33" s="1"/>
  <c r="G112" i="33"/>
  <c r="L112" i="33" s="1"/>
  <c r="M112" i="33" s="1"/>
  <c r="J111" i="33"/>
  <c r="K111" i="33" s="1"/>
  <c r="G111" i="33"/>
  <c r="L111" i="33" s="1"/>
  <c r="M111" i="33" s="1"/>
  <c r="J110" i="33"/>
  <c r="K110" i="33" s="1"/>
  <c r="G110" i="33"/>
  <c r="L110" i="33" s="1"/>
  <c r="M110" i="33" s="1"/>
  <c r="J109" i="33"/>
  <c r="K109" i="33" s="1"/>
  <c r="G109" i="33"/>
  <c r="L109" i="33" s="1"/>
  <c r="M109" i="33" s="1"/>
  <c r="J108" i="33"/>
  <c r="K108" i="33" s="1"/>
  <c r="G108" i="33"/>
  <c r="L108" i="33" s="1"/>
  <c r="M108" i="33" s="1"/>
  <c r="H107" i="33"/>
  <c r="J107" i="33" s="1"/>
  <c r="K107" i="33" s="1"/>
  <c r="G107" i="33"/>
  <c r="L107" i="33" s="1"/>
  <c r="M107" i="33" s="1"/>
  <c r="H106" i="33"/>
  <c r="J106" i="33" s="1"/>
  <c r="K106" i="33" s="1"/>
  <c r="E106" i="33"/>
  <c r="G106" i="33" s="1"/>
  <c r="L106" i="33" s="1"/>
  <c r="M106" i="33" s="1"/>
  <c r="H105" i="33"/>
  <c r="J105" i="33" s="1"/>
  <c r="K105" i="33" s="1"/>
  <c r="G105" i="33"/>
  <c r="L105" i="33" s="1"/>
  <c r="M105" i="33" s="1"/>
  <c r="H104" i="33"/>
  <c r="J104" i="33" s="1"/>
  <c r="K104" i="33" s="1"/>
  <c r="E104" i="33"/>
  <c r="G104" i="33" s="1"/>
  <c r="L104" i="33" s="1"/>
  <c r="M104" i="33" s="1"/>
  <c r="H103" i="33"/>
  <c r="J103" i="33" s="1"/>
  <c r="K103" i="33" s="1"/>
  <c r="E103" i="33"/>
  <c r="G103" i="33" s="1"/>
  <c r="L103" i="33" s="1"/>
  <c r="M103" i="33" s="1"/>
  <c r="J97" i="33"/>
  <c r="K97" i="33" s="1"/>
  <c r="G97" i="33"/>
  <c r="L97" i="33" s="1"/>
  <c r="M97" i="33" s="1"/>
  <c r="J96" i="33"/>
  <c r="K96" i="33" s="1"/>
  <c r="G96" i="33"/>
  <c r="L96" i="33" s="1"/>
  <c r="M96" i="33" s="1"/>
  <c r="J95" i="33"/>
  <c r="K95" i="33" s="1"/>
  <c r="G95" i="33"/>
  <c r="L95" i="33" s="1"/>
  <c r="M95" i="33" s="1"/>
  <c r="J91" i="33"/>
  <c r="K91" i="33" s="1"/>
  <c r="G91" i="33"/>
  <c r="L91" i="33" s="1"/>
  <c r="M91" i="33" s="1"/>
  <c r="J90" i="33"/>
  <c r="K90" i="33" s="1"/>
  <c r="G90" i="33"/>
  <c r="L90" i="33" s="1"/>
  <c r="M90" i="33" s="1"/>
  <c r="J89" i="33"/>
  <c r="K89" i="33" s="1"/>
  <c r="G89" i="33"/>
  <c r="L89" i="33" s="1"/>
  <c r="M89" i="33" s="1"/>
  <c r="J85" i="33"/>
  <c r="K85" i="33" s="1"/>
  <c r="E85" i="33"/>
  <c r="G85" i="33" s="1"/>
  <c r="L85" i="33" s="1"/>
  <c r="M85" i="33" s="1"/>
  <c r="J84" i="33"/>
  <c r="G84" i="33"/>
  <c r="L84" i="33" s="1"/>
  <c r="D84" i="33"/>
  <c r="M84" i="33" s="1"/>
  <c r="J83" i="33"/>
  <c r="K83" i="33" s="1"/>
  <c r="G83" i="33"/>
  <c r="L83" i="33" s="1"/>
  <c r="M83" i="33" s="1"/>
  <c r="J82" i="33"/>
  <c r="K82" i="33" s="1"/>
  <c r="G82" i="33"/>
  <c r="L82" i="33" s="1"/>
  <c r="M82" i="33" s="1"/>
  <c r="J81" i="33"/>
  <c r="K81" i="33" s="1"/>
  <c r="G81" i="33"/>
  <c r="L81" i="33" s="1"/>
  <c r="M81" i="33" s="1"/>
  <c r="J80" i="33"/>
  <c r="G80" i="33"/>
  <c r="L80" i="33" s="1"/>
  <c r="D80" i="33"/>
  <c r="M80" i="33" s="1"/>
  <c r="J79" i="33"/>
  <c r="K79" i="33" s="1"/>
  <c r="G79" i="33"/>
  <c r="L79" i="33" s="1"/>
  <c r="M79" i="33" s="1"/>
  <c r="J71" i="33"/>
  <c r="K71" i="33" s="1"/>
  <c r="G71" i="33"/>
  <c r="L71" i="33" s="1"/>
  <c r="M71" i="33" s="1"/>
  <c r="J69" i="33"/>
  <c r="K69" i="33" s="1"/>
  <c r="G69" i="33"/>
  <c r="L69" i="33" s="1"/>
  <c r="M69" i="33" s="1"/>
  <c r="H66" i="33"/>
  <c r="J66" i="33" s="1"/>
  <c r="K66" i="33" s="1"/>
  <c r="G66" i="33"/>
  <c r="L66" i="33" s="1"/>
  <c r="M66" i="33" s="1"/>
  <c r="H64" i="33"/>
  <c r="J64" i="33" s="1"/>
  <c r="K64" i="33" s="1"/>
  <c r="E64" i="33"/>
  <c r="G64" i="33" s="1"/>
  <c r="L64" i="33" s="1"/>
  <c r="M64" i="33" s="1"/>
  <c r="J62" i="33"/>
  <c r="K62" i="33" s="1"/>
  <c r="G62" i="33"/>
  <c r="L62" i="33" s="1"/>
  <c r="M62" i="33" s="1"/>
  <c r="J60" i="33"/>
  <c r="K60" i="33" s="1"/>
  <c r="G60" i="33"/>
  <c r="L60" i="33" s="1"/>
  <c r="M60" i="33" s="1"/>
  <c r="J58" i="33"/>
  <c r="K58" i="33" s="1"/>
  <c r="E58" i="33"/>
  <c r="G58" i="33" s="1"/>
  <c r="L58" i="33" s="1"/>
  <c r="M58" i="33" s="1"/>
  <c r="J56" i="33"/>
  <c r="K56" i="33" s="1"/>
  <c r="E56" i="33"/>
  <c r="G56" i="33" s="1"/>
  <c r="L56" i="33" s="1"/>
  <c r="M56" i="33" s="1"/>
  <c r="J54" i="33"/>
  <c r="K54" i="33" s="1"/>
  <c r="G54" i="33"/>
  <c r="L54" i="33" s="1"/>
  <c r="M54" i="33" s="1"/>
  <c r="H52" i="33"/>
  <c r="J52" i="33" s="1"/>
  <c r="K52" i="33" s="1"/>
  <c r="G52" i="33"/>
  <c r="L52" i="33" s="1"/>
  <c r="M52" i="33" s="1"/>
  <c r="H48" i="33"/>
  <c r="J48" i="33" s="1"/>
  <c r="E48" i="33"/>
  <c r="G48" i="33" s="1"/>
  <c r="L48" i="33" s="1"/>
  <c r="D48" i="33"/>
  <c r="M48" i="33" s="1"/>
  <c r="H46" i="33"/>
  <c r="J46" i="33" s="1"/>
  <c r="K46" i="33" s="1"/>
  <c r="E46" i="33"/>
  <c r="G46" i="33" s="1"/>
  <c r="L46" i="33" s="1"/>
  <c r="M46" i="33" s="1"/>
  <c r="H44" i="33"/>
  <c r="J44" i="33" s="1"/>
  <c r="G44" i="33"/>
  <c r="L44" i="33" s="1"/>
  <c r="D44" i="33"/>
  <c r="M44" i="33" s="1"/>
  <c r="H42" i="33"/>
  <c r="J42" i="33" s="1"/>
  <c r="K42" i="33" s="1"/>
  <c r="G42" i="33"/>
  <c r="L42" i="33" s="1"/>
  <c r="M42" i="33" s="1"/>
  <c r="H38" i="33"/>
  <c r="J38" i="33" s="1"/>
  <c r="K38" i="33" s="1"/>
  <c r="G38" i="33"/>
  <c r="L38" i="33" s="1"/>
  <c r="M38" i="33" s="1"/>
  <c r="H37" i="33"/>
  <c r="J37" i="33" s="1"/>
  <c r="K37" i="33" s="1"/>
  <c r="E37" i="33"/>
  <c r="G37" i="33" s="1"/>
  <c r="L37" i="33" s="1"/>
  <c r="M37" i="33" s="1"/>
  <c r="H34" i="33"/>
  <c r="J34" i="33" s="1"/>
  <c r="K34" i="33" s="1"/>
  <c r="E34" i="33"/>
  <c r="G34" i="33" s="1"/>
  <c r="L34" i="33" s="1"/>
  <c r="M34" i="33" s="1"/>
  <c r="H33" i="33"/>
  <c r="J33" i="33" s="1"/>
  <c r="K33" i="33" s="1"/>
  <c r="E33" i="33"/>
  <c r="G33" i="33" s="1"/>
  <c r="L33" i="33" s="1"/>
  <c r="M33" i="33" s="1"/>
  <c r="H32" i="33"/>
  <c r="J32" i="33" s="1"/>
  <c r="K32" i="33" s="1"/>
  <c r="E32" i="33"/>
  <c r="G32" i="33" s="1"/>
  <c r="L32" i="33" s="1"/>
  <c r="M32" i="33" s="1"/>
  <c r="H31" i="33"/>
  <c r="J31" i="33" s="1"/>
  <c r="K31" i="33" s="1"/>
  <c r="E31" i="33"/>
  <c r="G31" i="33" s="1"/>
  <c r="L31" i="33" s="1"/>
  <c r="M31" i="33" s="1"/>
  <c r="H28" i="33"/>
  <c r="J28" i="33" s="1"/>
  <c r="K28" i="33" s="1"/>
  <c r="E28" i="33"/>
  <c r="G28" i="33" s="1"/>
  <c r="L28" i="33" s="1"/>
  <c r="M28" i="33" s="1"/>
  <c r="H27" i="33"/>
  <c r="J27" i="33" s="1"/>
  <c r="K27" i="33" s="1"/>
  <c r="G27" i="33"/>
  <c r="L27" i="33" s="1"/>
  <c r="M27" i="33" s="1"/>
  <c r="H24" i="33"/>
  <c r="J24" i="33" s="1"/>
  <c r="K24" i="33" s="1"/>
  <c r="E24" i="33"/>
  <c r="G24" i="33" s="1"/>
  <c r="L24" i="33" s="1"/>
  <c r="M24" i="33" s="1"/>
  <c r="H21" i="33"/>
  <c r="J21" i="33" s="1"/>
  <c r="K21" i="33" s="1"/>
  <c r="E21" i="33"/>
  <c r="G21" i="33" s="1"/>
  <c r="L21" i="33" s="1"/>
  <c r="M21" i="33" s="1"/>
  <c r="H20" i="33"/>
  <c r="J20" i="33" s="1"/>
  <c r="K20" i="33" s="1"/>
  <c r="E20" i="33"/>
  <c r="G20" i="33" s="1"/>
  <c r="L20" i="33" s="1"/>
  <c r="M20" i="33" s="1"/>
  <c r="H18" i="33"/>
  <c r="J18" i="33" s="1"/>
  <c r="K18" i="33" s="1"/>
  <c r="G18" i="33"/>
  <c r="L18" i="33" s="1"/>
  <c r="M18" i="33" s="1"/>
  <c r="H17" i="33"/>
  <c r="J17" i="33" s="1"/>
  <c r="K17" i="33" s="1"/>
  <c r="G17" i="33"/>
  <c r="L17" i="33" s="1"/>
  <c r="M17" i="33" s="1"/>
  <c r="H14" i="33"/>
  <c r="J14" i="33" s="1"/>
  <c r="K14" i="33" s="1"/>
  <c r="E14" i="33"/>
  <c r="G14" i="33" s="1"/>
  <c r="L14" i="33" s="1"/>
  <c r="M14" i="33" s="1"/>
  <c r="J11" i="33"/>
  <c r="K11" i="33" s="1"/>
  <c r="E11" i="33"/>
  <c r="G11" i="33" s="1"/>
  <c r="L11" i="33" s="1"/>
  <c r="M11" i="33" s="1"/>
  <c r="M157" i="33" s="1"/>
  <c r="N157" i="33" s="1"/>
  <c r="A2" i="33"/>
  <c r="K154" i="32"/>
  <c r="E154" i="32"/>
  <c r="G154" i="32" s="1"/>
  <c r="L154" i="32" s="1"/>
  <c r="M154" i="32" s="1"/>
  <c r="K153" i="32"/>
  <c r="K152" i="32"/>
  <c r="K150" i="32"/>
  <c r="E150" i="32"/>
  <c r="G150" i="32" s="1"/>
  <c r="L150" i="32" s="1"/>
  <c r="M150" i="32" s="1"/>
  <c r="K149" i="32"/>
  <c r="E149" i="32"/>
  <c r="G149" i="32" s="1"/>
  <c r="L149" i="32" s="1"/>
  <c r="M149" i="32" s="1"/>
  <c r="K148" i="32"/>
  <c r="K146" i="32"/>
  <c r="E146" i="32"/>
  <c r="G146" i="32" s="1"/>
  <c r="L146" i="32" s="1"/>
  <c r="M146" i="32" s="1"/>
  <c r="K145" i="32"/>
  <c r="K143" i="32"/>
  <c r="G143" i="32"/>
  <c r="L143" i="32" s="1"/>
  <c r="M143" i="32" s="1"/>
  <c r="K142" i="32"/>
  <c r="K140" i="32"/>
  <c r="H139" i="32"/>
  <c r="K139" i="32" s="1"/>
  <c r="G139" i="32"/>
  <c r="L139" i="32" s="1"/>
  <c r="M139" i="32" s="1"/>
  <c r="J135" i="32"/>
  <c r="K135" i="32" s="1"/>
  <c r="E135" i="32"/>
  <c r="G135" i="32" s="1"/>
  <c r="L135" i="32" s="1"/>
  <c r="M135" i="32" s="1"/>
  <c r="H134" i="32"/>
  <c r="J134" i="32" s="1"/>
  <c r="K134" i="32" s="1"/>
  <c r="E134" i="32"/>
  <c r="G134" i="32" s="1"/>
  <c r="L134" i="32" s="1"/>
  <c r="M134" i="32" s="1"/>
  <c r="H133" i="32"/>
  <c r="J133" i="32" s="1"/>
  <c r="K133" i="32" s="1"/>
  <c r="G133" i="32"/>
  <c r="L133" i="32" s="1"/>
  <c r="M133" i="32" s="1"/>
  <c r="H132" i="32"/>
  <c r="J132" i="32" s="1"/>
  <c r="K132" i="32" s="1"/>
  <c r="G132" i="32"/>
  <c r="L132" i="32" s="1"/>
  <c r="M132" i="32" s="1"/>
  <c r="H126" i="32"/>
  <c r="J126" i="32" s="1"/>
  <c r="K126" i="32" s="1"/>
  <c r="G126" i="32"/>
  <c r="L126" i="32" s="1"/>
  <c r="M126" i="32" s="1"/>
  <c r="H122" i="32"/>
  <c r="J122" i="32" s="1"/>
  <c r="K122" i="32" s="1"/>
  <c r="E122" i="32"/>
  <c r="G122" i="32" s="1"/>
  <c r="L122" i="32" s="1"/>
  <c r="M122" i="32" s="1"/>
  <c r="H121" i="32"/>
  <c r="J121" i="32" s="1"/>
  <c r="K121" i="32" s="1"/>
  <c r="E121" i="32"/>
  <c r="G121" i="32" s="1"/>
  <c r="L121" i="32" s="1"/>
  <c r="M121" i="32" s="1"/>
  <c r="J115" i="32"/>
  <c r="K115" i="32" s="1"/>
  <c r="G115" i="32"/>
  <c r="L115" i="32" s="1"/>
  <c r="M115" i="32" s="1"/>
  <c r="J114" i="32"/>
  <c r="K114" i="32" s="1"/>
  <c r="G114" i="32"/>
  <c r="L114" i="32" s="1"/>
  <c r="M114" i="32" s="1"/>
  <c r="J113" i="32"/>
  <c r="K113" i="32" s="1"/>
  <c r="G113" i="32"/>
  <c r="L113" i="32" s="1"/>
  <c r="M113" i="32" s="1"/>
  <c r="J112" i="32"/>
  <c r="K112" i="32" s="1"/>
  <c r="G112" i="32"/>
  <c r="L112" i="32" s="1"/>
  <c r="M112" i="32" s="1"/>
  <c r="J111" i="32"/>
  <c r="K111" i="32" s="1"/>
  <c r="G111" i="32"/>
  <c r="L111" i="32" s="1"/>
  <c r="M111" i="32" s="1"/>
  <c r="J110" i="32"/>
  <c r="K110" i="32" s="1"/>
  <c r="G110" i="32"/>
  <c r="L110" i="32" s="1"/>
  <c r="M110" i="32" s="1"/>
  <c r="J109" i="32"/>
  <c r="K109" i="32" s="1"/>
  <c r="G109" i="32"/>
  <c r="L109" i="32" s="1"/>
  <c r="M109" i="32" s="1"/>
  <c r="J108" i="32"/>
  <c r="K108" i="32" s="1"/>
  <c r="G108" i="32"/>
  <c r="L108" i="32" s="1"/>
  <c r="M108" i="32" s="1"/>
  <c r="H107" i="32"/>
  <c r="J107" i="32" s="1"/>
  <c r="K107" i="32" s="1"/>
  <c r="G107" i="32"/>
  <c r="L107" i="32" s="1"/>
  <c r="M107" i="32" s="1"/>
  <c r="H106" i="32"/>
  <c r="J106" i="32" s="1"/>
  <c r="K106" i="32" s="1"/>
  <c r="E106" i="32"/>
  <c r="G106" i="32" s="1"/>
  <c r="L106" i="32" s="1"/>
  <c r="M106" i="32" s="1"/>
  <c r="H105" i="32"/>
  <c r="J105" i="32" s="1"/>
  <c r="K105" i="32" s="1"/>
  <c r="G105" i="32"/>
  <c r="L105" i="32" s="1"/>
  <c r="M105" i="32" s="1"/>
  <c r="H104" i="32"/>
  <c r="J104" i="32" s="1"/>
  <c r="K104" i="32" s="1"/>
  <c r="E104" i="32"/>
  <c r="G104" i="32" s="1"/>
  <c r="L104" i="32" s="1"/>
  <c r="M104" i="32" s="1"/>
  <c r="H103" i="32"/>
  <c r="J103" i="32" s="1"/>
  <c r="K103" i="32" s="1"/>
  <c r="E103" i="32"/>
  <c r="G103" i="32" s="1"/>
  <c r="L103" i="32" s="1"/>
  <c r="M103" i="32" s="1"/>
  <c r="J97" i="32"/>
  <c r="K97" i="32" s="1"/>
  <c r="G97" i="32"/>
  <c r="L97" i="32" s="1"/>
  <c r="M97" i="32" s="1"/>
  <c r="J96" i="32"/>
  <c r="K96" i="32" s="1"/>
  <c r="G96" i="32"/>
  <c r="L96" i="32" s="1"/>
  <c r="M96" i="32" s="1"/>
  <c r="J95" i="32"/>
  <c r="K95" i="32" s="1"/>
  <c r="G95" i="32"/>
  <c r="L95" i="32" s="1"/>
  <c r="M95" i="32" s="1"/>
  <c r="J91" i="32"/>
  <c r="K91" i="32" s="1"/>
  <c r="G91" i="32"/>
  <c r="L91" i="32" s="1"/>
  <c r="M91" i="32" s="1"/>
  <c r="J90" i="32"/>
  <c r="K90" i="32" s="1"/>
  <c r="G90" i="32"/>
  <c r="L90" i="32" s="1"/>
  <c r="M90" i="32" s="1"/>
  <c r="J89" i="32"/>
  <c r="K89" i="32" s="1"/>
  <c r="G89" i="32"/>
  <c r="L89" i="32" s="1"/>
  <c r="M89" i="32" s="1"/>
  <c r="J85" i="32"/>
  <c r="K85" i="32" s="1"/>
  <c r="E85" i="32"/>
  <c r="G85" i="32" s="1"/>
  <c r="L85" i="32" s="1"/>
  <c r="M85" i="32" s="1"/>
  <c r="J84" i="32"/>
  <c r="G84" i="32"/>
  <c r="L84" i="32" s="1"/>
  <c r="D84" i="32"/>
  <c r="M84" i="32" s="1"/>
  <c r="J83" i="32"/>
  <c r="K83" i="32" s="1"/>
  <c r="G83" i="32"/>
  <c r="L83" i="32" s="1"/>
  <c r="M83" i="32" s="1"/>
  <c r="J82" i="32"/>
  <c r="K82" i="32" s="1"/>
  <c r="G82" i="32"/>
  <c r="L82" i="32" s="1"/>
  <c r="M82" i="32" s="1"/>
  <c r="J81" i="32"/>
  <c r="K81" i="32" s="1"/>
  <c r="G81" i="32"/>
  <c r="L81" i="32" s="1"/>
  <c r="M81" i="32" s="1"/>
  <c r="J80" i="32"/>
  <c r="G80" i="32"/>
  <c r="L80" i="32" s="1"/>
  <c r="D80" i="32"/>
  <c r="M80" i="32" s="1"/>
  <c r="J79" i="32"/>
  <c r="K79" i="32" s="1"/>
  <c r="G79" i="32"/>
  <c r="L79" i="32" s="1"/>
  <c r="M79" i="32" s="1"/>
  <c r="J71" i="32"/>
  <c r="K71" i="32" s="1"/>
  <c r="G71" i="32"/>
  <c r="L71" i="32" s="1"/>
  <c r="M71" i="32" s="1"/>
  <c r="J69" i="32"/>
  <c r="K69" i="32" s="1"/>
  <c r="G69" i="32"/>
  <c r="L69" i="32" s="1"/>
  <c r="M69" i="32" s="1"/>
  <c r="H66" i="32"/>
  <c r="J66" i="32" s="1"/>
  <c r="K66" i="32" s="1"/>
  <c r="G66" i="32"/>
  <c r="L66" i="32" s="1"/>
  <c r="M66" i="32" s="1"/>
  <c r="H64" i="32"/>
  <c r="J64" i="32" s="1"/>
  <c r="K64" i="32" s="1"/>
  <c r="E64" i="32"/>
  <c r="G64" i="32" s="1"/>
  <c r="L64" i="32" s="1"/>
  <c r="M64" i="32" s="1"/>
  <c r="J62" i="32"/>
  <c r="K62" i="32" s="1"/>
  <c r="G62" i="32"/>
  <c r="L62" i="32" s="1"/>
  <c r="M62" i="32" s="1"/>
  <c r="J60" i="32"/>
  <c r="K60" i="32" s="1"/>
  <c r="G60" i="32"/>
  <c r="L60" i="32" s="1"/>
  <c r="M60" i="32" s="1"/>
  <c r="J58" i="32"/>
  <c r="K58" i="32" s="1"/>
  <c r="E58" i="32"/>
  <c r="G58" i="32" s="1"/>
  <c r="L58" i="32" s="1"/>
  <c r="M58" i="32" s="1"/>
  <c r="J56" i="32"/>
  <c r="K56" i="32" s="1"/>
  <c r="E56" i="32"/>
  <c r="G56" i="32" s="1"/>
  <c r="L56" i="32" s="1"/>
  <c r="M56" i="32" s="1"/>
  <c r="J54" i="32"/>
  <c r="K54" i="32" s="1"/>
  <c r="G54" i="32"/>
  <c r="L54" i="32" s="1"/>
  <c r="M54" i="32" s="1"/>
  <c r="H52" i="32"/>
  <c r="J52" i="32" s="1"/>
  <c r="K52" i="32" s="1"/>
  <c r="G52" i="32"/>
  <c r="L52" i="32" s="1"/>
  <c r="M52" i="32" s="1"/>
  <c r="H48" i="32"/>
  <c r="J48" i="32" s="1"/>
  <c r="E48" i="32"/>
  <c r="G48" i="32" s="1"/>
  <c r="L48" i="32" s="1"/>
  <c r="D48" i="32"/>
  <c r="M48" i="32" s="1"/>
  <c r="H46" i="32"/>
  <c r="J46" i="32" s="1"/>
  <c r="K46" i="32" s="1"/>
  <c r="E46" i="32"/>
  <c r="G46" i="32" s="1"/>
  <c r="L46" i="32" s="1"/>
  <c r="M46" i="32" s="1"/>
  <c r="H44" i="32"/>
  <c r="J44" i="32" s="1"/>
  <c r="G44" i="32"/>
  <c r="L44" i="32" s="1"/>
  <c r="D44" i="32"/>
  <c r="M44" i="32" s="1"/>
  <c r="H42" i="32"/>
  <c r="J42" i="32" s="1"/>
  <c r="K42" i="32" s="1"/>
  <c r="G42" i="32"/>
  <c r="L42" i="32" s="1"/>
  <c r="M42" i="32" s="1"/>
  <c r="H38" i="32"/>
  <c r="J38" i="32" s="1"/>
  <c r="K38" i="32" s="1"/>
  <c r="G38" i="32"/>
  <c r="L38" i="32" s="1"/>
  <c r="M38" i="32" s="1"/>
  <c r="H37" i="32"/>
  <c r="J37" i="32" s="1"/>
  <c r="K37" i="32" s="1"/>
  <c r="E37" i="32"/>
  <c r="G37" i="32" s="1"/>
  <c r="L37" i="32" s="1"/>
  <c r="M37" i="32" s="1"/>
  <c r="H34" i="32"/>
  <c r="J34" i="32" s="1"/>
  <c r="K34" i="32" s="1"/>
  <c r="E34" i="32"/>
  <c r="G34" i="32" s="1"/>
  <c r="L34" i="32" s="1"/>
  <c r="M34" i="32" s="1"/>
  <c r="H33" i="32"/>
  <c r="J33" i="32" s="1"/>
  <c r="K33" i="32" s="1"/>
  <c r="E33" i="32"/>
  <c r="G33" i="32" s="1"/>
  <c r="L33" i="32" s="1"/>
  <c r="M33" i="32" s="1"/>
  <c r="H32" i="32"/>
  <c r="J32" i="32" s="1"/>
  <c r="K32" i="32" s="1"/>
  <c r="E32" i="32"/>
  <c r="G32" i="32" s="1"/>
  <c r="L32" i="32" s="1"/>
  <c r="M32" i="32" s="1"/>
  <c r="H31" i="32"/>
  <c r="J31" i="32" s="1"/>
  <c r="K31" i="32" s="1"/>
  <c r="E31" i="32"/>
  <c r="G31" i="32" s="1"/>
  <c r="L31" i="32" s="1"/>
  <c r="M31" i="32" s="1"/>
  <c r="H28" i="32"/>
  <c r="J28" i="32" s="1"/>
  <c r="K28" i="32" s="1"/>
  <c r="E28" i="32"/>
  <c r="G28" i="32" s="1"/>
  <c r="L28" i="32" s="1"/>
  <c r="M28" i="32" s="1"/>
  <c r="G27" i="32"/>
  <c r="D27" i="32"/>
  <c r="H24" i="32"/>
  <c r="J24" i="32" s="1"/>
  <c r="K24" i="32" s="1"/>
  <c r="E24" i="32"/>
  <c r="G24" i="32" s="1"/>
  <c r="L24" i="32" s="1"/>
  <c r="M24" i="32" s="1"/>
  <c r="H21" i="32"/>
  <c r="J21" i="32" s="1"/>
  <c r="K21" i="32" s="1"/>
  <c r="E21" i="32"/>
  <c r="G21" i="32" s="1"/>
  <c r="L21" i="32" s="1"/>
  <c r="M21" i="32" s="1"/>
  <c r="H20" i="32"/>
  <c r="J20" i="32" s="1"/>
  <c r="K20" i="32" s="1"/>
  <c r="E20" i="32"/>
  <c r="G20" i="32" s="1"/>
  <c r="L20" i="32" s="1"/>
  <c r="M20" i="32" s="1"/>
  <c r="H18" i="32"/>
  <c r="J18" i="32" s="1"/>
  <c r="K18" i="32" s="1"/>
  <c r="G18" i="32"/>
  <c r="L18" i="32" s="1"/>
  <c r="M18" i="32" s="1"/>
  <c r="H17" i="32"/>
  <c r="J17" i="32" s="1"/>
  <c r="K17" i="32" s="1"/>
  <c r="G17" i="32"/>
  <c r="L17" i="32" s="1"/>
  <c r="M17" i="32" s="1"/>
  <c r="H14" i="32"/>
  <c r="J14" i="32" s="1"/>
  <c r="K14" i="32" s="1"/>
  <c r="E14" i="32"/>
  <c r="G14" i="32" s="1"/>
  <c r="L14" i="32" s="1"/>
  <c r="M14" i="32" s="1"/>
  <c r="J11" i="32"/>
  <c r="K11" i="32" s="1"/>
  <c r="E11" i="32"/>
  <c r="G11" i="32" s="1"/>
  <c r="L11" i="32" s="1"/>
  <c r="M11" i="32" s="1"/>
  <c r="A2" i="32"/>
  <c r="K155" i="31"/>
  <c r="E155" i="31"/>
  <c r="G155" i="31" s="1"/>
  <c r="L155" i="31" s="1"/>
  <c r="M155" i="31" s="1"/>
  <c r="K154" i="31"/>
  <c r="K153" i="31"/>
  <c r="K151" i="31"/>
  <c r="E151" i="31"/>
  <c r="G151" i="31" s="1"/>
  <c r="L151" i="31" s="1"/>
  <c r="M151" i="31" s="1"/>
  <c r="K150" i="31"/>
  <c r="E150" i="31"/>
  <c r="G150" i="31" s="1"/>
  <c r="L150" i="31" s="1"/>
  <c r="M150" i="31" s="1"/>
  <c r="K149" i="31"/>
  <c r="K147" i="31"/>
  <c r="E147" i="31"/>
  <c r="G147" i="31" s="1"/>
  <c r="L147" i="31" s="1"/>
  <c r="M147" i="31" s="1"/>
  <c r="K146" i="31"/>
  <c r="K144" i="31"/>
  <c r="G144" i="31"/>
  <c r="L144" i="31" s="1"/>
  <c r="M144" i="31" s="1"/>
  <c r="K143" i="31"/>
  <c r="K141" i="31"/>
  <c r="H140" i="31"/>
  <c r="K140" i="31" s="1"/>
  <c r="G140" i="31"/>
  <c r="L140" i="31" s="1"/>
  <c r="M140" i="31" s="1"/>
  <c r="J136" i="31"/>
  <c r="K136" i="31" s="1"/>
  <c r="E136" i="31"/>
  <c r="G136" i="31" s="1"/>
  <c r="L136" i="31" s="1"/>
  <c r="M136" i="31" s="1"/>
  <c r="H135" i="31"/>
  <c r="J135" i="31" s="1"/>
  <c r="K135" i="31" s="1"/>
  <c r="E135" i="31"/>
  <c r="G135" i="31" s="1"/>
  <c r="L135" i="31" s="1"/>
  <c r="M135" i="31" s="1"/>
  <c r="H134" i="31"/>
  <c r="J134" i="31" s="1"/>
  <c r="K134" i="31" s="1"/>
  <c r="G134" i="31"/>
  <c r="L134" i="31" s="1"/>
  <c r="M134" i="31" s="1"/>
  <c r="H133" i="31"/>
  <c r="J133" i="31" s="1"/>
  <c r="K133" i="31" s="1"/>
  <c r="G133" i="31"/>
  <c r="L133" i="31" s="1"/>
  <c r="M133" i="31" s="1"/>
  <c r="H127" i="31"/>
  <c r="J127" i="31" s="1"/>
  <c r="K127" i="31" s="1"/>
  <c r="G127" i="31"/>
  <c r="L127" i="31" s="1"/>
  <c r="M127" i="31" s="1"/>
  <c r="H123" i="31"/>
  <c r="J123" i="31" s="1"/>
  <c r="K123" i="31" s="1"/>
  <c r="E123" i="31"/>
  <c r="G123" i="31" s="1"/>
  <c r="L123" i="31" s="1"/>
  <c r="M123" i="31" s="1"/>
  <c r="H122" i="31"/>
  <c r="J122" i="31" s="1"/>
  <c r="K122" i="31" s="1"/>
  <c r="E122" i="31"/>
  <c r="G122" i="31" s="1"/>
  <c r="L122" i="31" s="1"/>
  <c r="M122" i="31" s="1"/>
  <c r="J116" i="31"/>
  <c r="K116" i="31" s="1"/>
  <c r="G116" i="31"/>
  <c r="L116" i="31" s="1"/>
  <c r="M116" i="31" s="1"/>
  <c r="J115" i="31"/>
  <c r="K115" i="31" s="1"/>
  <c r="G115" i="31"/>
  <c r="L115" i="31" s="1"/>
  <c r="M115" i="31" s="1"/>
  <c r="J114" i="31"/>
  <c r="K114" i="31" s="1"/>
  <c r="G114" i="31"/>
  <c r="L114" i="31" s="1"/>
  <c r="M114" i="31" s="1"/>
  <c r="J113" i="31"/>
  <c r="K113" i="31" s="1"/>
  <c r="G113" i="31"/>
  <c r="L113" i="31" s="1"/>
  <c r="M113" i="31" s="1"/>
  <c r="J112" i="31"/>
  <c r="K112" i="31" s="1"/>
  <c r="G112" i="31"/>
  <c r="L112" i="31" s="1"/>
  <c r="M112" i="31" s="1"/>
  <c r="J111" i="31"/>
  <c r="K111" i="31" s="1"/>
  <c r="G111" i="31"/>
  <c r="L111" i="31" s="1"/>
  <c r="M111" i="31" s="1"/>
  <c r="J110" i="31"/>
  <c r="K110" i="31" s="1"/>
  <c r="G110" i="31"/>
  <c r="L110" i="31" s="1"/>
  <c r="M110" i="31" s="1"/>
  <c r="J109" i="31"/>
  <c r="K109" i="31" s="1"/>
  <c r="G109" i="31"/>
  <c r="L109" i="31" s="1"/>
  <c r="M109" i="31" s="1"/>
  <c r="H108" i="31"/>
  <c r="J108" i="31" s="1"/>
  <c r="K108" i="31" s="1"/>
  <c r="G108" i="31"/>
  <c r="L108" i="31" s="1"/>
  <c r="M108" i="31" s="1"/>
  <c r="H107" i="31"/>
  <c r="J107" i="31" s="1"/>
  <c r="K107" i="31" s="1"/>
  <c r="E107" i="31"/>
  <c r="G107" i="31" s="1"/>
  <c r="L107" i="31" s="1"/>
  <c r="M107" i="31" s="1"/>
  <c r="H106" i="31"/>
  <c r="J106" i="31" s="1"/>
  <c r="K106" i="31" s="1"/>
  <c r="G106" i="31"/>
  <c r="L106" i="31" s="1"/>
  <c r="M106" i="31" s="1"/>
  <c r="H105" i="31"/>
  <c r="J105" i="31" s="1"/>
  <c r="K105" i="31" s="1"/>
  <c r="E105" i="31"/>
  <c r="G105" i="31" s="1"/>
  <c r="L105" i="31" s="1"/>
  <c r="M105" i="31" s="1"/>
  <c r="H104" i="31"/>
  <c r="J104" i="31" s="1"/>
  <c r="K104" i="31" s="1"/>
  <c r="E104" i="31"/>
  <c r="G104" i="31" s="1"/>
  <c r="L104" i="31" s="1"/>
  <c r="M104" i="31" s="1"/>
  <c r="J98" i="31"/>
  <c r="K98" i="31" s="1"/>
  <c r="G98" i="31"/>
  <c r="L98" i="31" s="1"/>
  <c r="M98" i="31" s="1"/>
  <c r="J97" i="31"/>
  <c r="K97" i="31" s="1"/>
  <c r="G97" i="31"/>
  <c r="L97" i="31" s="1"/>
  <c r="M97" i="31" s="1"/>
  <c r="J96" i="31"/>
  <c r="K96" i="31" s="1"/>
  <c r="G96" i="31"/>
  <c r="L96" i="31" s="1"/>
  <c r="M96" i="31" s="1"/>
  <c r="J92" i="31"/>
  <c r="K92" i="31" s="1"/>
  <c r="G92" i="31"/>
  <c r="L92" i="31" s="1"/>
  <c r="M92" i="31" s="1"/>
  <c r="J91" i="31"/>
  <c r="K91" i="31" s="1"/>
  <c r="G91" i="31"/>
  <c r="L91" i="31" s="1"/>
  <c r="M91" i="31" s="1"/>
  <c r="J90" i="31"/>
  <c r="K90" i="31" s="1"/>
  <c r="G90" i="31"/>
  <c r="L90" i="31" s="1"/>
  <c r="M90" i="31" s="1"/>
  <c r="J86" i="31"/>
  <c r="K86" i="31" s="1"/>
  <c r="E86" i="31"/>
  <c r="G86" i="31" s="1"/>
  <c r="L86" i="31" s="1"/>
  <c r="M86" i="31" s="1"/>
  <c r="J85" i="31"/>
  <c r="G85" i="31"/>
  <c r="L85" i="31" s="1"/>
  <c r="D85" i="31"/>
  <c r="M85" i="31" s="1"/>
  <c r="J84" i="31"/>
  <c r="K84" i="31" s="1"/>
  <c r="G84" i="31"/>
  <c r="L84" i="31" s="1"/>
  <c r="M84" i="31" s="1"/>
  <c r="J83" i="31"/>
  <c r="K83" i="31" s="1"/>
  <c r="G83" i="31"/>
  <c r="L83" i="31" s="1"/>
  <c r="M83" i="31" s="1"/>
  <c r="J82" i="31"/>
  <c r="K82" i="31" s="1"/>
  <c r="G82" i="31"/>
  <c r="L82" i="31" s="1"/>
  <c r="M82" i="31" s="1"/>
  <c r="J81" i="31"/>
  <c r="G81" i="31"/>
  <c r="L81" i="31" s="1"/>
  <c r="D81" i="31"/>
  <c r="M81" i="31" s="1"/>
  <c r="J80" i="31"/>
  <c r="K80" i="31" s="1"/>
  <c r="G80" i="31"/>
  <c r="L80" i="31" s="1"/>
  <c r="M80" i="31" s="1"/>
  <c r="J72" i="31"/>
  <c r="K72" i="31" s="1"/>
  <c r="G72" i="31"/>
  <c r="L72" i="31" s="1"/>
  <c r="M72" i="31" s="1"/>
  <c r="J70" i="31"/>
  <c r="K70" i="31" s="1"/>
  <c r="G70" i="31"/>
  <c r="L70" i="31" s="1"/>
  <c r="M70" i="31" s="1"/>
  <c r="H67" i="31"/>
  <c r="J67" i="31" s="1"/>
  <c r="K67" i="31" s="1"/>
  <c r="G67" i="31"/>
  <c r="L67" i="31" s="1"/>
  <c r="M67" i="31" s="1"/>
  <c r="H65" i="31"/>
  <c r="J65" i="31" s="1"/>
  <c r="K65" i="31" s="1"/>
  <c r="E65" i="31"/>
  <c r="G65" i="31" s="1"/>
  <c r="L65" i="31" s="1"/>
  <c r="M65" i="31" s="1"/>
  <c r="J63" i="31"/>
  <c r="K63" i="31" s="1"/>
  <c r="G63" i="31"/>
  <c r="L63" i="31" s="1"/>
  <c r="M63" i="31" s="1"/>
  <c r="J61" i="31"/>
  <c r="K61" i="31" s="1"/>
  <c r="G61" i="31"/>
  <c r="L61" i="31" s="1"/>
  <c r="M61" i="31" s="1"/>
  <c r="J59" i="31"/>
  <c r="K59" i="31" s="1"/>
  <c r="E59" i="31"/>
  <c r="G59" i="31" s="1"/>
  <c r="L59" i="31" s="1"/>
  <c r="M59" i="31" s="1"/>
  <c r="J57" i="31"/>
  <c r="K57" i="31" s="1"/>
  <c r="E57" i="31"/>
  <c r="G57" i="31" s="1"/>
  <c r="L57" i="31" s="1"/>
  <c r="M57" i="31" s="1"/>
  <c r="J55" i="31"/>
  <c r="K55" i="31" s="1"/>
  <c r="G55" i="31"/>
  <c r="L55" i="31" s="1"/>
  <c r="M55" i="31" s="1"/>
  <c r="H53" i="31"/>
  <c r="J53" i="31" s="1"/>
  <c r="K53" i="31" s="1"/>
  <c r="G53" i="31"/>
  <c r="L53" i="31" s="1"/>
  <c r="M53" i="31" s="1"/>
  <c r="H49" i="31"/>
  <c r="J49" i="31" s="1"/>
  <c r="E49" i="31"/>
  <c r="G49" i="31" s="1"/>
  <c r="L49" i="31" s="1"/>
  <c r="D49" i="31"/>
  <c r="M49" i="31" s="1"/>
  <c r="H47" i="31"/>
  <c r="J47" i="31" s="1"/>
  <c r="K47" i="31" s="1"/>
  <c r="E47" i="31"/>
  <c r="G47" i="31" s="1"/>
  <c r="L47" i="31" s="1"/>
  <c r="M47" i="31" s="1"/>
  <c r="H45" i="31"/>
  <c r="J45" i="31" s="1"/>
  <c r="G45" i="31"/>
  <c r="L45" i="31" s="1"/>
  <c r="D45" i="31"/>
  <c r="M45" i="31" s="1"/>
  <c r="H43" i="31"/>
  <c r="J43" i="31" s="1"/>
  <c r="K43" i="31" s="1"/>
  <c r="G43" i="31"/>
  <c r="L43" i="31" s="1"/>
  <c r="M43" i="31" s="1"/>
  <c r="H39" i="31"/>
  <c r="J39" i="31" s="1"/>
  <c r="K39" i="31" s="1"/>
  <c r="G39" i="31"/>
  <c r="L39" i="31" s="1"/>
  <c r="M39" i="31" s="1"/>
  <c r="H38" i="31"/>
  <c r="J38" i="31" s="1"/>
  <c r="K38" i="31" s="1"/>
  <c r="E38" i="31"/>
  <c r="G38" i="31" s="1"/>
  <c r="L38" i="31" s="1"/>
  <c r="M38" i="31" s="1"/>
  <c r="H35" i="31"/>
  <c r="J35" i="31" s="1"/>
  <c r="K35" i="31" s="1"/>
  <c r="E35" i="31"/>
  <c r="G35" i="31" s="1"/>
  <c r="L35" i="31" s="1"/>
  <c r="M35" i="31" s="1"/>
  <c r="H34" i="31"/>
  <c r="J34" i="31" s="1"/>
  <c r="K34" i="31" s="1"/>
  <c r="E34" i="31"/>
  <c r="G34" i="31" s="1"/>
  <c r="L34" i="31" s="1"/>
  <c r="M34" i="31" s="1"/>
  <c r="H33" i="31"/>
  <c r="J33" i="31" s="1"/>
  <c r="K33" i="31" s="1"/>
  <c r="E33" i="31"/>
  <c r="G33" i="31" s="1"/>
  <c r="L33" i="31" s="1"/>
  <c r="M33" i="31" s="1"/>
  <c r="H32" i="31"/>
  <c r="J32" i="31" s="1"/>
  <c r="K32" i="31" s="1"/>
  <c r="E32" i="31"/>
  <c r="G32" i="31" s="1"/>
  <c r="L32" i="31" s="1"/>
  <c r="M32" i="31" s="1"/>
  <c r="H29" i="31"/>
  <c r="J29" i="31" s="1"/>
  <c r="K29" i="31" s="1"/>
  <c r="E29" i="31"/>
  <c r="G29" i="31" s="1"/>
  <c r="L29" i="31" s="1"/>
  <c r="M29" i="31" s="1"/>
  <c r="G28" i="31"/>
  <c r="D28" i="31"/>
  <c r="H25" i="31"/>
  <c r="J25" i="31" s="1"/>
  <c r="K25" i="31" s="1"/>
  <c r="E25" i="31"/>
  <c r="G25" i="31" s="1"/>
  <c r="L25" i="31" s="1"/>
  <c r="M25" i="31" s="1"/>
  <c r="H22" i="31"/>
  <c r="J22" i="31" s="1"/>
  <c r="K22" i="31" s="1"/>
  <c r="E22" i="31"/>
  <c r="G22" i="31" s="1"/>
  <c r="L22" i="31" s="1"/>
  <c r="M22" i="31" s="1"/>
  <c r="H21" i="31"/>
  <c r="J21" i="31" s="1"/>
  <c r="K21" i="31" s="1"/>
  <c r="E21" i="31"/>
  <c r="G21" i="31" s="1"/>
  <c r="L21" i="31" s="1"/>
  <c r="M21" i="31" s="1"/>
  <c r="H20" i="31"/>
  <c r="J20" i="31" s="1"/>
  <c r="K20" i="31" s="1"/>
  <c r="E20" i="31"/>
  <c r="G20" i="31" s="1"/>
  <c r="L20" i="31" s="1"/>
  <c r="M20" i="31" s="1"/>
  <c r="H18" i="31"/>
  <c r="J18" i="31" s="1"/>
  <c r="K18" i="31" s="1"/>
  <c r="G18" i="31"/>
  <c r="L18" i="31" s="1"/>
  <c r="M18" i="31" s="1"/>
  <c r="H17" i="31"/>
  <c r="J17" i="31" s="1"/>
  <c r="K17" i="31" s="1"/>
  <c r="G17" i="31"/>
  <c r="L17" i="31" s="1"/>
  <c r="M17" i="31" s="1"/>
  <c r="H14" i="31"/>
  <c r="J14" i="31" s="1"/>
  <c r="K14" i="31" s="1"/>
  <c r="E14" i="31"/>
  <c r="G14" i="31" s="1"/>
  <c r="L14" i="31" s="1"/>
  <c r="M14" i="31" s="1"/>
  <c r="J11" i="31"/>
  <c r="K11" i="31" s="1"/>
  <c r="E11" i="31"/>
  <c r="G11" i="31" s="1"/>
  <c r="L11" i="31" s="1"/>
  <c r="M11" i="31" s="1"/>
  <c r="A2" i="31"/>
  <c r="K153" i="30"/>
  <c r="E153" i="30"/>
  <c r="G153" i="30" s="1"/>
  <c r="L153" i="30" s="1"/>
  <c r="M153" i="30" s="1"/>
  <c r="K152" i="30"/>
  <c r="K151" i="30"/>
  <c r="K149" i="30"/>
  <c r="E149" i="30"/>
  <c r="G149" i="30" s="1"/>
  <c r="L149" i="30" s="1"/>
  <c r="M149" i="30" s="1"/>
  <c r="K148" i="30"/>
  <c r="E148" i="30"/>
  <c r="G148" i="30" s="1"/>
  <c r="L148" i="30" s="1"/>
  <c r="M148" i="30" s="1"/>
  <c r="K147" i="30"/>
  <c r="K145" i="30"/>
  <c r="E145" i="30"/>
  <c r="G145" i="30" s="1"/>
  <c r="L145" i="30" s="1"/>
  <c r="M145" i="30" s="1"/>
  <c r="K144" i="30"/>
  <c r="K142" i="30"/>
  <c r="G142" i="30"/>
  <c r="L142" i="30" s="1"/>
  <c r="M142" i="30" s="1"/>
  <c r="K141" i="30"/>
  <c r="K139" i="30"/>
  <c r="H138" i="30"/>
  <c r="K138" i="30" s="1"/>
  <c r="G138" i="30"/>
  <c r="L138" i="30" s="1"/>
  <c r="M138" i="30" s="1"/>
  <c r="J134" i="30"/>
  <c r="K134" i="30" s="1"/>
  <c r="E134" i="30"/>
  <c r="G134" i="30" s="1"/>
  <c r="L134" i="30" s="1"/>
  <c r="M134" i="30" s="1"/>
  <c r="H133" i="30"/>
  <c r="J133" i="30" s="1"/>
  <c r="K133" i="30" s="1"/>
  <c r="E133" i="30"/>
  <c r="G133" i="30" s="1"/>
  <c r="L133" i="30" s="1"/>
  <c r="M133" i="30" s="1"/>
  <c r="H132" i="30"/>
  <c r="J132" i="30" s="1"/>
  <c r="K132" i="30" s="1"/>
  <c r="G132" i="30"/>
  <c r="L132" i="30" s="1"/>
  <c r="M132" i="30" s="1"/>
  <c r="H131" i="30"/>
  <c r="J131" i="30" s="1"/>
  <c r="K131" i="30" s="1"/>
  <c r="G131" i="30"/>
  <c r="L131" i="30" s="1"/>
  <c r="M131" i="30" s="1"/>
  <c r="H125" i="30"/>
  <c r="J125" i="30" s="1"/>
  <c r="K125" i="30" s="1"/>
  <c r="G125" i="30"/>
  <c r="L125" i="30" s="1"/>
  <c r="M125" i="30" s="1"/>
  <c r="H121" i="30"/>
  <c r="J121" i="30" s="1"/>
  <c r="K121" i="30" s="1"/>
  <c r="E121" i="30"/>
  <c r="G121" i="30" s="1"/>
  <c r="L121" i="30" s="1"/>
  <c r="M121" i="30" s="1"/>
  <c r="H120" i="30"/>
  <c r="J120" i="30" s="1"/>
  <c r="K120" i="30" s="1"/>
  <c r="E120" i="30"/>
  <c r="G120" i="30" s="1"/>
  <c r="L120" i="30" s="1"/>
  <c r="M120" i="30" s="1"/>
  <c r="J114" i="30"/>
  <c r="K114" i="30" s="1"/>
  <c r="G114" i="30"/>
  <c r="L114" i="30" s="1"/>
  <c r="M114" i="30" s="1"/>
  <c r="J113" i="30"/>
  <c r="K113" i="30" s="1"/>
  <c r="G113" i="30"/>
  <c r="L113" i="30" s="1"/>
  <c r="M113" i="30" s="1"/>
  <c r="J112" i="30"/>
  <c r="K112" i="30" s="1"/>
  <c r="G112" i="30"/>
  <c r="L112" i="30" s="1"/>
  <c r="M112" i="30" s="1"/>
  <c r="J111" i="30"/>
  <c r="K111" i="30" s="1"/>
  <c r="G111" i="30"/>
  <c r="L111" i="30" s="1"/>
  <c r="M111" i="30" s="1"/>
  <c r="J110" i="30"/>
  <c r="K110" i="30" s="1"/>
  <c r="G110" i="30"/>
  <c r="L110" i="30" s="1"/>
  <c r="M110" i="30" s="1"/>
  <c r="J109" i="30"/>
  <c r="K109" i="30" s="1"/>
  <c r="G109" i="30"/>
  <c r="L109" i="30" s="1"/>
  <c r="M109" i="30" s="1"/>
  <c r="J108" i="30"/>
  <c r="K108" i="30" s="1"/>
  <c r="G108" i="30"/>
  <c r="L108" i="30" s="1"/>
  <c r="M108" i="30" s="1"/>
  <c r="J107" i="30"/>
  <c r="K107" i="30" s="1"/>
  <c r="G107" i="30"/>
  <c r="L107" i="30" s="1"/>
  <c r="M107" i="30" s="1"/>
  <c r="H106" i="30"/>
  <c r="J106" i="30" s="1"/>
  <c r="K106" i="30" s="1"/>
  <c r="G106" i="30"/>
  <c r="L106" i="30" s="1"/>
  <c r="M106" i="30" s="1"/>
  <c r="H105" i="30"/>
  <c r="J105" i="30" s="1"/>
  <c r="K105" i="30" s="1"/>
  <c r="E105" i="30"/>
  <c r="G105" i="30" s="1"/>
  <c r="L105" i="30" s="1"/>
  <c r="M105" i="30" s="1"/>
  <c r="H104" i="30"/>
  <c r="J104" i="30" s="1"/>
  <c r="K104" i="30" s="1"/>
  <c r="G104" i="30"/>
  <c r="L104" i="30" s="1"/>
  <c r="M104" i="30" s="1"/>
  <c r="H103" i="30"/>
  <c r="J103" i="30" s="1"/>
  <c r="K103" i="30" s="1"/>
  <c r="E103" i="30"/>
  <c r="G103" i="30" s="1"/>
  <c r="L103" i="30" s="1"/>
  <c r="M103" i="30" s="1"/>
  <c r="H102" i="30"/>
  <c r="J102" i="30" s="1"/>
  <c r="K102" i="30" s="1"/>
  <c r="E102" i="30"/>
  <c r="G102" i="30" s="1"/>
  <c r="L102" i="30" s="1"/>
  <c r="M102" i="30" s="1"/>
  <c r="J96" i="30"/>
  <c r="K96" i="30" s="1"/>
  <c r="G96" i="30"/>
  <c r="L96" i="30" s="1"/>
  <c r="M96" i="30" s="1"/>
  <c r="J95" i="30"/>
  <c r="K95" i="30" s="1"/>
  <c r="G95" i="30"/>
  <c r="L95" i="30" s="1"/>
  <c r="M95" i="30" s="1"/>
  <c r="J94" i="30"/>
  <c r="K94" i="30" s="1"/>
  <c r="G94" i="30"/>
  <c r="L94" i="30" s="1"/>
  <c r="M94" i="30" s="1"/>
  <c r="J90" i="30"/>
  <c r="G90" i="30"/>
  <c r="L90" i="30" s="1"/>
  <c r="D90" i="30"/>
  <c r="M90" i="30" s="1"/>
  <c r="J89" i="30"/>
  <c r="K89" i="30" s="1"/>
  <c r="G89" i="30"/>
  <c r="L89" i="30" s="1"/>
  <c r="M89" i="30" s="1"/>
  <c r="J88" i="30"/>
  <c r="K88" i="30" s="1"/>
  <c r="G88" i="30"/>
  <c r="L88" i="30" s="1"/>
  <c r="M88" i="30" s="1"/>
  <c r="J84" i="30"/>
  <c r="K84" i="30" s="1"/>
  <c r="E84" i="30"/>
  <c r="G84" i="30" s="1"/>
  <c r="L84" i="30" s="1"/>
  <c r="M84" i="30" s="1"/>
  <c r="J83" i="30"/>
  <c r="G83" i="30"/>
  <c r="L83" i="30" s="1"/>
  <c r="D83" i="30"/>
  <c r="M83" i="30" s="1"/>
  <c r="J82" i="30"/>
  <c r="K82" i="30" s="1"/>
  <c r="G82" i="30"/>
  <c r="L82" i="30" s="1"/>
  <c r="M82" i="30" s="1"/>
  <c r="J81" i="30"/>
  <c r="K81" i="30" s="1"/>
  <c r="G81" i="30"/>
  <c r="L81" i="30" s="1"/>
  <c r="M81" i="30" s="1"/>
  <c r="J80" i="30"/>
  <c r="K80" i="30" s="1"/>
  <c r="G80" i="30"/>
  <c r="L80" i="30" s="1"/>
  <c r="M80" i="30" s="1"/>
  <c r="J79" i="30"/>
  <c r="K79" i="30" s="1"/>
  <c r="G79" i="30"/>
  <c r="L79" i="30" s="1"/>
  <c r="M79" i="30" s="1"/>
  <c r="J78" i="30"/>
  <c r="K78" i="30" s="1"/>
  <c r="G78" i="30"/>
  <c r="L78" i="30" s="1"/>
  <c r="M78" i="30" s="1"/>
  <c r="J70" i="30"/>
  <c r="K70" i="30" s="1"/>
  <c r="G70" i="30"/>
  <c r="L70" i="30" s="1"/>
  <c r="M70" i="30" s="1"/>
  <c r="J68" i="30"/>
  <c r="K68" i="30" s="1"/>
  <c r="G68" i="30"/>
  <c r="L68" i="30" s="1"/>
  <c r="M68" i="30" s="1"/>
  <c r="H65" i="30"/>
  <c r="J65" i="30" s="1"/>
  <c r="K65" i="30" s="1"/>
  <c r="G65" i="30"/>
  <c r="L65" i="30" s="1"/>
  <c r="M65" i="30" s="1"/>
  <c r="H63" i="30"/>
  <c r="J63" i="30" s="1"/>
  <c r="K63" i="30" s="1"/>
  <c r="E63" i="30"/>
  <c r="G63" i="30" s="1"/>
  <c r="L63" i="30" s="1"/>
  <c r="M63" i="30" s="1"/>
  <c r="J61" i="30"/>
  <c r="K61" i="30" s="1"/>
  <c r="G61" i="30"/>
  <c r="L61" i="30" s="1"/>
  <c r="M61" i="30" s="1"/>
  <c r="J59" i="30"/>
  <c r="K59" i="30" s="1"/>
  <c r="G59" i="30"/>
  <c r="L59" i="30" s="1"/>
  <c r="M59" i="30" s="1"/>
  <c r="J57" i="30"/>
  <c r="K57" i="30" s="1"/>
  <c r="E57" i="30"/>
  <c r="G57" i="30" s="1"/>
  <c r="L57" i="30" s="1"/>
  <c r="M57" i="30" s="1"/>
  <c r="J55" i="30"/>
  <c r="K55" i="30" s="1"/>
  <c r="E55" i="30"/>
  <c r="G55" i="30" s="1"/>
  <c r="L55" i="30" s="1"/>
  <c r="M55" i="30" s="1"/>
  <c r="J53" i="30"/>
  <c r="K53" i="30" s="1"/>
  <c r="G53" i="30"/>
  <c r="L53" i="30" s="1"/>
  <c r="M53" i="30" s="1"/>
  <c r="H51" i="30"/>
  <c r="J51" i="30" s="1"/>
  <c r="K51" i="30" s="1"/>
  <c r="G51" i="30"/>
  <c r="L51" i="30" s="1"/>
  <c r="M51" i="30" s="1"/>
  <c r="H47" i="30"/>
  <c r="J47" i="30" s="1"/>
  <c r="K47" i="30" s="1"/>
  <c r="E47" i="30"/>
  <c r="G47" i="30" s="1"/>
  <c r="L47" i="30" s="1"/>
  <c r="M47" i="30" s="1"/>
  <c r="H45" i="30"/>
  <c r="J45" i="30" s="1"/>
  <c r="K45" i="30" s="1"/>
  <c r="E45" i="30"/>
  <c r="G45" i="30" s="1"/>
  <c r="L45" i="30" s="1"/>
  <c r="M45" i="30" s="1"/>
  <c r="H43" i="30"/>
  <c r="J43" i="30" s="1"/>
  <c r="G43" i="30"/>
  <c r="L43" i="30" s="1"/>
  <c r="D43" i="30"/>
  <c r="M43" i="30" s="1"/>
  <c r="H41" i="30"/>
  <c r="J41" i="30" s="1"/>
  <c r="K41" i="30" s="1"/>
  <c r="G41" i="30"/>
  <c r="L41" i="30" s="1"/>
  <c r="M41" i="30" s="1"/>
  <c r="H37" i="30"/>
  <c r="J37" i="30" s="1"/>
  <c r="K37" i="30" s="1"/>
  <c r="G37" i="30"/>
  <c r="L37" i="30" s="1"/>
  <c r="M37" i="30" s="1"/>
  <c r="H36" i="30"/>
  <c r="J36" i="30" s="1"/>
  <c r="K36" i="30" s="1"/>
  <c r="E36" i="30"/>
  <c r="G36" i="30" s="1"/>
  <c r="L36" i="30" s="1"/>
  <c r="M36" i="30" s="1"/>
  <c r="H33" i="30"/>
  <c r="J33" i="30" s="1"/>
  <c r="K33" i="30" s="1"/>
  <c r="E33" i="30"/>
  <c r="G33" i="30" s="1"/>
  <c r="L33" i="30" s="1"/>
  <c r="M33" i="30" s="1"/>
  <c r="H32" i="30"/>
  <c r="J32" i="30" s="1"/>
  <c r="K32" i="30" s="1"/>
  <c r="E32" i="30"/>
  <c r="G32" i="30" s="1"/>
  <c r="L32" i="30" s="1"/>
  <c r="M32" i="30" s="1"/>
  <c r="H31" i="30"/>
  <c r="J31" i="30" s="1"/>
  <c r="E31" i="30"/>
  <c r="G31" i="30" s="1"/>
  <c r="L31" i="30" s="1"/>
  <c r="D31" i="30"/>
  <c r="M31" i="30" s="1"/>
  <c r="H30" i="30"/>
  <c r="J30" i="30" s="1"/>
  <c r="K30" i="30" s="1"/>
  <c r="E30" i="30"/>
  <c r="G30" i="30" s="1"/>
  <c r="L30" i="30" s="1"/>
  <c r="M30" i="30" s="1"/>
  <c r="H27" i="30"/>
  <c r="J27" i="30" s="1"/>
  <c r="K27" i="30" s="1"/>
  <c r="E27" i="30"/>
  <c r="G27" i="30" s="1"/>
  <c r="L27" i="30" s="1"/>
  <c r="M27" i="30" s="1"/>
  <c r="G26" i="30"/>
  <c r="D26" i="30"/>
  <c r="H23" i="30"/>
  <c r="J23" i="30" s="1"/>
  <c r="K23" i="30" s="1"/>
  <c r="E23" i="30"/>
  <c r="G23" i="30" s="1"/>
  <c r="L23" i="30" s="1"/>
  <c r="M23" i="30" s="1"/>
  <c r="H20" i="30"/>
  <c r="J20" i="30" s="1"/>
  <c r="K20" i="30" s="1"/>
  <c r="G20" i="30"/>
  <c r="L20" i="30" s="1"/>
  <c r="M20" i="30" s="1"/>
  <c r="H18" i="30"/>
  <c r="J18" i="30" s="1"/>
  <c r="K18" i="30" s="1"/>
  <c r="G18" i="30"/>
  <c r="L18" i="30" s="1"/>
  <c r="M18" i="30" s="1"/>
  <c r="H17" i="30"/>
  <c r="J17" i="30" s="1"/>
  <c r="K17" i="30" s="1"/>
  <c r="G17" i="30"/>
  <c r="L17" i="30" s="1"/>
  <c r="M17" i="30" s="1"/>
  <c r="H14" i="30"/>
  <c r="J14" i="30" s="1"/>
  <c r="K14" i="30" s="1"/>
  <c r="G14" i="30"/>
  <c r="L14" i="30" s="1"/>
  <c r="M14" i="30" s="1"/>
  <c r="J11" i="30"/>
  <c r="K11" i="30" s="1"/>
  <c r="E11" i="30"/>
  <c r="G11" i="30" s="1"/>
  <c r="L11" i="30" s="1"/>
  <c r="M11" i="30" s="1"/>
  <c r="A2" i="30"/>
  <c r="K153" i="29"/>
  <c r="E153" i="29"/>
  <c r="G153" i="29" s="1"/>
  <c r="L153" i="29" s="1"/>
  <c r="M153" i="29" s="1"/>
  <c r="K152" i="29"/>
  <c r="K151" i="29"/>
  <c r="K149" i="29"/>
  <c r="E149" i="29"/>
  <c r="G149" i="29" s="1"/>
  <c r="L149" i="29" s="1"/>
  <c r="M149" i="29" s="1"/>
  <c r="K148" i="29"/>
  <c r="E148" i="29"/>
  <c r="G148" i="29" s="1"/>
  <c r="L148" i="29" s="1"/>
  <c r="M148" i="29" s="1"/>
  <c r="K147" i="29"/>
  <c r="K145" i="29"/>
  <c r="E145" i="29"/>
  <c r="G145" i="29" s="1"/>
  <c r="L145" i="29" s="1"/>
  <c r="M145" i="29" s="1"/>
  <c r="K144" i="29"/>
  <c r="K142" i="29"/>
  <c r="G142" i="29"/>
  <c r="L142" i="29" s="1"/>
  <c r="M142" i="29" s="1"/>
  <c r="K141" i="29"/>
  <c r="K139" i="29"/>
  <c r="H138" i="29"/>
  <c r="K138" i="29" s="1"/>
  <c r="G138" i="29"/>
  <c r="L138" i="29" s="1"/>
  <c r="M138" i="29" s="1"/>
  <c r="J134" i="29"/>
  <c r="K134" i="29" s="1"/>
  <c r="E134" i="29"/>
  <c r="G134" i="29" s="1"/>
  <c r="L134" i="29" s="1"/>
  <c r="M134" i="29" s="1"/>
  <c r="H133" i="29"/>
  <c r="J133" i="29" s="1"/>
  <c r="K133" i="29" s="1"/>
  <c r="E133" i="29"/>
  <c r="G133" i="29" s="1"/>
  <c r="L133" i="29" s="1"/>
  <c r="M133" i="29" s="1"/>
  <c r="H132" i="29"/>
  <c r="J132" i="29" s="1"/>
  <c r="K132" i="29" s="1"/>
  <c r="G132" i="29"/>
  <c r="L132" i="29" s="1"/>
  <c r="M132" i="29" s="1"/>
  <c r="H131" i="29"/>
  <c r="J131" i="29" s="1"/>
  <c r="K131" i="29" s="1"/>
  <c r="G131" i="29"/>
  <c r="L131" i="29" s="1"/>
  <c r="M131" i="29" s="1"/>
  <c r="H125" i="29"/>
  <c r="J125" i="29" s="1"/>
  <c r="K125" i="29" s="1"/>
  <c r="G125" i="29"/>
  <c r="L125" i="29" s="1"/>
  <c r="M125" i="29" s="1"/>
  <c r="H121" i="29"/>
  <c r="J121" i="29" s="1"/>
  <c r="K121" i="29" s="1"/>
  <c r="E121" i="29"/>
  <c r="G121" i="29" s="1"/>
  <c r="L121" i="29" s="1"/>
  <c r="M121" i="29" s="1"/>
  <c r="H120" i="29"/>
  <c r="J120" i="29" s="1"/>
  <c r="K120" i="29" s="1"/>
  <c r="E120" i="29"/>
  <c r="G120" i="29" s="1"/>
  <c r="L120" i="29" s="1"/>
  <c r="M120" i="29" s="1"/>
  <c r="J114" i="29"/>
  <c r="K114" i="29" s="1"/>
  <c r="G114" i="29"/>
  <c r="L114" i="29" s="1"/>
  <c r="M114" i="29" s="1"/>
  <c r="J113" i="29"/>
  <c r="K113" i="29" s="1"/>
  <c r="G113" i="29"/>
  <c r="L113" i="29" s="1"/>
  <c r="M113" i="29" s="1"/>
  <c r="J112" i="29"/>
  <c r="K112" i="29" s="1"/>
  <c r="G112" i="29"/>
  <c r="L112" i="29" s="1"/>
  <c r="M112" i="29" s="1"/>
  <c r="J111" i="29"/>
  <c r="K111" i="29" s="1"/>
  <c r="G111" i="29"/>
  <c r="L111" i="29" s="1"/>
  <c r="M111" i="29" s="1"/>
  <c r="J110" i="29"/>
  <c r="K110" i="29" s="1"/>
  <c r="G110" i="29"/>
  <c r="L110" i="29" s="1"/>
  <c r="M110" i="29" s="1"/>
  <c r="J109" i="29"/>
  <c r="K109" i="29" s="1"/>
  <c r="G109" i="29"/>
  <c r="L109" i="29" s="1"/>
  <c r="M109" i="29" s="1"/>
  <c r="J108" i="29"/>
  <c r="K108" i="29" s="1"/>
  <c r="G108" i="29"/>
  <c r="L108" i="29" s="1"/>
  <c r="M108" i="29" s="1"/>
  <c r="J107" i="29"/>
  <c r="K107" i="29" s="1"/>
  <c r="G107" i="29"/>
  <c r="L107" i="29" s="1"/>
  <c r="M107" i="29" s="1"/>
  <c r="H106" i="29"/>
  <c r="J106" i="29" s="1"/>
  <c r="K106" i="29" s="1"/>
  <c r="G106" i="29"/>
  <c r="L106" i="29" s="1"/>
  <c r="M106" i="29" s="1"/>
  <c r="H105" i="29"/>
  <c r="J105" i="29" s="1"/>
  <c r="K105" i="29" s="1"/>
  <c r="E105" i="29"/>
  <c r="G105" i="29" s="1"/>
  <c r="L105" i="29" s="1"/>
  <c r="M105" i="29" s="1"/>
  <c r="H104" i="29"/>
  <c r="J104" i="29" s="1"/>
  <c r="K104" i="29" s="1"/>
  <c r="G104" i="29"/>
  <c r="L104" i="29" s="1"/>
  <c r="M104" i="29" s="1"/>
  <c r="H103" i="29"/>
  <c r="J103" i="29" s="1"/>
  <c r="K103" i="29" s="1"/>
  <c r="E103" i="29"/>
  <c r="G103" i="29" s="1"/>
  <c r="L103" i="29" s="1"/>
  <c r="M103" i="29" s="1"/>
  <c r="H102" i="29"/>
  <c r="J102" i="29" s="1"/>
  <c r="K102" i="29" s="1"/>
  <c r="E102" i="29"/>
  <c r="G102" i="29" s="1"/>
  <c r="L102" i="29" s="1"/>
  <c r="M102" i="29" s="1"/>
  <c r="J96" i="29"/>
  <c r="K96" i="29" s="1"/>
  <c r="G96" i="29"/>
  <c r="L96" i="29" s="1"/>
  <c r="M96" i="29" s="1"/>
  <c r="J95" i="29"/>
  <c r="K95" i="29" s="1"/>
  <c r="G95" i="29"/>
  <c r="L95" i="29" s="1"/>
  <c r="M95" i="29" s="1"/>
  <c r="J94" i="29"/>
  <c r="K94" i="29" s="1"/>
  <c r="G94" i="29"/>
  <c r="L94" i="29" s="1"/>
  <c r="M94" i="29" s="1"/>
  <c r="J90" i="29"/>
  <c r="G90" i="29"/>
  <c r="L90" i="29" s="1"/>
  <c r="D90" i="29"/>
  <c r="M90" i="29" s="1"/>
  <c r="J89" i="29"/>
  <c r="K89" i="29" s="1"/>
  <c r="G89" i="29"/>
  <c r="L89" i="29" s="1"/>
  <c r="M89" i="29" s="1"/>
  <c r="J88" i="29"/>
  <c r="K88" i="29" s="1"/>
  <c r="G88" i="29"/>
  <c r="L88" i="29" s="1"/>
  <c r="M88" i="29" s="1"/>
  <c r="J84" i="29"/>
  <c r="K84" i="29" s="1"/>
  <c r="E84" i="29"/>
  <c r="G84" i="29" s="1"/>
  <c r="L84" i="29" s="1"/>
  <c r="M84" i="29" s="1"/>
  <c r="J83" i="29"/>
  <c r="G83" i="29"/>
  <c r="L83" i="29" s="1"/>
  <c r="D83" i="29"/>
  <c r="M83" i="29" s="1"/>
  <c r="J82" i="29"/>
  <c r="K82" i="29" s="1"/>
  <c r="G82" i="29"/>
  <c r="L82" i="29" s="1"/>
  <c r="M82" i="29" s="1"/>
  <c r="J81" i="29"/>
  <c r="K81" i="29" s="1"/>
  <c r="G81" i="29"/>
  <c r="L81" i="29" s="1"/>
  <c r="M81" i="29" s="1"/>
  <c r="J80" i="29"/>
  <c r="K80" i="29" s="1"/>
  <c r="G80" i="29"/>
  <c r="L80" i="29" s="1"/>
  <c r="M80" i="29" s="1"/>
  <c r="J79" i="29"/>
  <c r="K79" i="29" s="1"/>
  <c r="G79" i="29"/>
  <c r="L79" i="29" s="1"/>
  <c r="M79" i="29" s="1"/>
  <c r="J78" i="29"/>
  <c r="K78" i="29" s="1"/>
  <c r="G78" i="29"/>
  <c r="L78" i="29" s="1"/>
  <c r="M78" i="29" s="1"/>
  <c r="J70" i="29"/>
  <c r="K70" i="29" s="1"/>
  <c r="G70" i="29"/>
  <c r="L70" i="29" s="1"/>
  <c r="M70" i="29" s="1"/>
  <c r="J68" i="29"/>
  <c r="K68" i="29" s="1"/>
  <c r="G68" i="29"/>
  <c r="L68" i="29" s="1"/>
  <c r="M68" i="29" s="1"/>
  <c r="H65" i="29"/>
  <c r="J65" i="29" s="1"/>
  <c r="K65" i="29" s="1"/>
  <c r="G65" i="29"/>
  <c r="L65" i="29" s="1"/>
  <c r="M65" i="29" s="1"/>
  <c r="H63" i="29"/>
  <c r="J63" i="29" s="1"/>
  <c r="K63" i="29" s="1"/>
  <c r="E63" i="29"/>
  <c r="G63" i="29" s="1"/>
  <c r="L63" i="29" s="1"/>
  <c r="M63" i="29" s="1"/>
  <c r="J61" i="29"/>
  <c r="K61" i="29" s="1"/>
  <c r="G61" i="29"/>
  <c r="L61" i="29" s="1"/>
  <c r="M61" i="29" s="1"/>
  <c r="J59" i="29"/>
  <c r="K59" i="29" s="1"/>
  <c r="G59" i="29"/>
  <c r="L59" i="29" s="1"/>
  <c r="M59" i="29" s="1"/>
  <c r="J57" i="29"/>
  <c r="K57" i="29" s="1"/>
  <c r="E57" i="29"/>
  <c r="G57" i="29" s="1"/>
  <c r="L57" i="29" s="1"/>
  <c r="M57" i="29" s="1"/>
  <c r="J55" i="29"/>
  <c r="K55" i="29" s="1"/>
  <c r="E55" i="29"/>
  <c r="G55" i="29" s="1"/>
  <c r="L55" i="29" s="1"/>
  <c r="M55" i="29" s="1"/>
  <c r="J53" i="29"/>
  <c r="K53" i="29" s="1"/>
  <c r="G53" i="29"/>
  <c r="L53" i="29" s="1"/>
  <c r="M53" i="29" s="1"/>
  <c r="H51" i="29"/>
  <c r="J51" i="29" s="1"/>
  <c r="K51" i="29" s="1"/>
  <c r="G51" i="29"/>
  <c r="L51" i="29" s="1"/>
  <c r="M51" i="29" s="1"/>
  <c r="H47" i="29"/>
  <c r="J47" i="29" s="1"/>
  <c r="K47" i="29" s="1"/>
  <c r="E47" i="29"/>
  <c r="G47" i="29" s="1"/>
  <c r="L47" i="29" s="1"/>
  <c r="M47" i="29" s="1"/>
  <c r="H45" i="29"/>
  <c r="J45" i="29" s="1"/>
  <c r="K45" i="29" s="1"/>
  <c r="E45" i="29"/>
  <c r="G45" i="29" s="1"/>
  <c r="L45" i="29" s="1"/>
  <c r="M45" i="29" s="1"/>
  <c r="H43" i="29"/>
  <c r="J43" i="29" s="1"/>
  <c r="G43" i="29"/>
  <c r="L43" i="29" s="1"/>
  <c r="D43" i="29"/>
  <c r="M43" i="29" s="1"/>
  <c r="H41" i="29"/>
  <c r="J41" i="29" s="1"/>
  <c r="K41" i="29" s="1"/>
  <c r="G41" i="29"/>
  <c r="L41" i="29" s="1"/>
  <c r="M41" i="29" s="1"/>
  <c r="H37" i="29"/>
  <c r="J37" i="29" s="1"/>
  <c r="K37" i="29" s="1"/>
  <c r="G37" i="29"/>
  <c r="L37" i="29" s="1"/>
  <c r="M37" i="29" s="1"/>
  <c r="H36" i="29"/>
  <c r="J36" i="29" s="1"/>
  <c r="K36" i="29" s="1"/>
  <c r="E36" i="29"/>
  <c r="G36" i="29" s="1"/>
  <c r="L36" i="29" s="1"/>
  <c r="M36" i="29" s="1"/>
  <c r="H33" i="29"/>
  <c r="J33" i="29" s="1"/>
  <c r="K33" i="29" s="1"/>
  <c r="E33" i="29"/>
  <c r="G33" i="29" s="1"/>
  <c r="L33" i="29" s="1"/>
  <c r="M33" i="29" s="1"/>
  <c r="H32" i="29"/>
  <c r="J32" i="29" s="1"/>
  <c r="K32" i="29" s="1"/>
  <c r="E32" i="29"/>
  <c r="G32" i="29" s="1"/>
  <c r="L32" i="29" s="1"/>
  <c r="M32" i="29" s="1"/>
  <c r="H31" i="29"/>
  <c r="J31" i="29" s="1"/>
  <c r="E31" i="29"/>
  <c r="G31" i="29" s="1"/>
  <c r="L31" i="29" s="1"/>
  <c r="D31" i="29"/>
  <c r="M31" i="29" s="1"/>
  <c r="H30" i="29"/>
  <c r="J30" i="29" s="1"/>
  <c r="K30" i="29" s="1"/>
  <c r="E30" i="29"/>
  <c r="G30" i="29" s="1"/>
  <c r="L30" i="29" s="1"/>
  <c r="M30" i="29" s="1"/>
  <c r="H27" i="29"/>
  <c r="J27" i="29" s="1"/>
  <c r="K27" i="29" s="1"/>
  <c r="E27" i="29"/>
  <c r="G27" i="29" s="1"/>
  <c r="L27" i="29" s="1"/>
  <c r="M27" i="29" s="1"/>
  <c r="G26" i="29"/>
  <c r="D26" i="29"/>
  <c r="H23" i="29"/>
  <c r="J23" i="29" s="1"/>
  <c r="K23" i="29" s="1"/>
  <c r="E23" i="29"/>
  <c r="G23" i="29" s="1"/>
  <c r="L23" i="29" s="1"/>
  <c r="M23" i="29" s="1"/>
  <c r="H20" i="29"/>
  <c r="J20" i="29" s="1"/>
  <c r="K20" i="29" s="1"/>
  <c r="G20" i="29"/>
  <c r="L20" i="29" s="1"/>
  <c r="M20" i="29" s="1"/>
  <c r="H18" i="29"/>
  <c r="J18" i="29" s="1"/>
  <c r="K18" i="29" s="1"/>
  <c r="G18" i="29"/>
  <c r="L18" i="29" s="1"/>
  <c r="M18" i="29" s="1"/>
  <c r="H17" i="29"/>
  <c r="J17" i="29" s="1"/>
  <c r="K17" i="29" s="1"/>
  <c r="G17" i="29"/>
  <c r="L17" i="29" s="1"/>
  <c r="M17" i="29" s="1"/>
  <c r="H14" i="29"/>
  <c r="J14" i="29" s="1"/>
  <c r="K14" i="29" s="1"/>
  <c r="G14" i="29"/>
  <c r="L14" i="29" s="1"/>
  <c r="M14" i="29" s="1"/>
  <c r="J11" i="29"/>
  <c r="K11" i="29" s="1"/>
  <c r="E11" i="29"/>
  <c r="G11" i="29" s="1"/>
  <c r="L11" i="29" s="1"/>
  <c r="M11" i="29" s="1"/>
  <c r="A2" i="29"/>
  <c r="K153" i="28"/>
  <c r="E153" i="28"/>
  <c r="G153" i="28" s="1"/>
  <c r="L153" i="28" s="1"/>
  <c r="M153" i="28" s="1"/>
  <c r="K152" i="28"/>
  <c r="K151" i="28"/>
  <c r="K149" i="28"/>
  <c r="E149" i="28"/>
  <c r="G149" i="28" s="1"/>
  <c r="L149" i="28" s="1"/>
  <c r="M149" i="28" s="1"/>
  <c r="K148" i="28"/>
  <c r="E148" i="28"/>
  <c r="G148" i="28" s="1"/>
  <c r="L148" i="28" s="1"/>
  <c r="M148" i="28" s="1"/>
  <c r="K147" i="28"/>
  <c r="K145" i="28"/>
  <c r="E145" i="28"/>
  <c r="G145" i="28" s="1"/>
  <c r="L145" i="28" s="1"/>
  <c r="M145" i="28" s="1"/>
  <c r="K144" i="28"/>
  <c r="K142" i="28"/>
  <c r="G142" i="28"/>
  <c r="L142" i="28" s="1"/>
  <c r="M142" i="28" s="1"/>
  <c r="K141" i="28"/>
  <c r="K139" i="28"/>
  <c r="H138" i="28"/>
  <c r="K138" i="28" s="1"/>
  <c r="G138" i="28"/>
  <c r="L138" i="28" s="1"/>
  <c r="M138" i="28" s="1"/>
  <c r="J134" i="28"/>
  <c r="K134" i="28" s="1"/>
  <c r="E134" i="28"/>
  <c r="G134" i="28" s="1"/>
  <c r="L134" i="28" s="1"/>
  <c r="M134" i="28" s="1"/>
  <c r="H133" i="28"/>
  <c r="J133" i="28" s="1"/>
  <c r="K133" i="28" s="1"/>
  <c r="E133" i="28"/>
  <c r="G133" i="28" s="1"/>
  <c r="L133" i="28" s="1"/>
  <c r="M133" i="28" s="1"/>
  <c r="H132" i="28"/>
  <c r="J132" i="28" s="1"/>
  <c r="K132" i="28" s="1"/>
  <c r="G132" i="28"/>
  <c r="L132" i="28" s="1"/>
  <c r="M132" i="28" s="1"/>
  <c r="H131" i="28"/>
  <c r="J131" i="28" s="1"/>
  <c r="K131" i="28" s="1"/>
  <c r="G131" i="28"/>
  <c r="L131" i="28" s="1"/>
  <c r="M131" i="28" s="1"/>
  <c r="H125" i="28"/>
  <c r="J125" i="28" s="1"/>
  <c r="K125" i="28" s="1"/>
  <c r="G125" i="28"/>
  <c r="L125" i="28" s="1"/>
  <c r="M125" i="28" s="1"/>
  <c r="H121" i="28"/>
  <c r="J121" i="28" s="1"/>
  <c r="K121" i="28" s="1"/>
  <c r="E121" i="28"/>
  <c r="G121" i="28" s="1"/>
  <c r="L121" i="28" s="1"/>
  <c r="M121" i="28" s="1"/>
  <c r="H120" i="28"/>
  <c r="J120" i="28" s="1"/>
  <c r="K120" i="28" s="1"/>
  <c r="E120" i="28"/>
  <c r="G120" i="28" s="1"/>
  <c r="L120" i="28" s="1"/>
  <c r="M120" i="28" s="1"/>
  <c r="J114" i="28"/>
  <c r="K114" i="28" s="1"/>
  <c r="G114" i="28"/>
  <c r="L114" i="28" s="1"/>
  <c r="M114" i="28" s="1"/>
  <c r="J113" i="28"/>
  <c r="K113" i="28" s="1"/>
  <c r="G113" i="28"/>
  <c r="L113" i="28" s="1"/>
  <c r="M113" i="28" s="1"/>
  <c r="J112" i="28"/>
  <c r="K112" i="28" s="1"/>
  <c r="G112" i="28"/>
  <c r="L112" i="28" s="1"/>
  <c r="M112" i="28" s="1"/>
  <c r="J111" i="28"/>
  <c r="K111" i="28" s="1"/>
  <c r="G111" i="28"/>
  <c r="L111" i="28" s="1"/>
  <c r="M111" i="28" s="1"/>
  <c r="J110" i="28"/>
  <c r="K110" i="28" s="1"/>
  <c r="G110" i="28"/>
  <c r="L110" i="28" s="1"/>
  <c r="M110" i="28" s="1"/>
  <c r="J109" i="28"/>
  <c r="K109" i="28" s="1"/>
  <c r="G109" i="28"/>
  <c r="L109" i="28" s="1"/>
  <c r="M109" i="28" s="1"/>
  <c r="J108" i="28"/>
  <c r="K108" i="28" s="1"/>
  <c r="G108" i="28"/>
  <c r="L108" i="28" s="1"/>
  <c r="M108" i="28" s="1"/>
  <c r="J107" i="28"/>
  <c r="K107" i="28" s="1"/>
  <c r="G107" i="28"/>
  <c r="L107" i="28" s="1"/>
  <c r="M107" i="28" s="1"/>
  <c r="H106" i="28"/>
  <c r="J106" i="28" s="1"/>
  <c r="K106" i="28" s="1"/>
  <c r="G106" i="28"/>
  <c r="L106" i="28" s="1"/>
  <c r="M106" i="28" s="1"/>
  <c r="H105" i="28"/>
  <c r="J105" i="28" s="1"/>
  <c r="K105" i="28" s="1"/>
  <c r="E105" i="28"/>
  <c r="G105" i="28" s="1"/>
  <c r="L105" i="28" s="1"/>
  <c r="M105" i="28" s="1"/>
  <c r="H104" i="28"/>
  <c r="J104" i="28" s="1"/>
  <c r="K104" i="28" s="1"/>
  <c r="G104" i="28"/>
  <c r="L104" i="28" s="1"/>
  <c r="M104" i="28" s="1"/>
  <c r="H103" i="28"/>
  <c r="J103" i="28" s="1"/>
  <c r="K103" i="28" s="1"/>
  <c r="E103" i="28"/>
  <c r="G103" i="28" s="1"/>
  <c r="L103" i="28" s="1"/>
  <c r="M103" i="28" s="1"/>
  <c r="H102" i="28"/>
  <c r="J102" i="28" s="1"/>
  <c r="K102" i="28" s="1"/>
  <c r="E102" i="28"/>
  <c r="G102" i="28" s="1"/>
  <c r="L102" i="28" s="1"/>
  <c r="M102" i="28" s="1"/>
  <c r="J96" i="28"/>
  <c r="K96" i="28" s="1"/>
  <c r="G96" i="28"/>
  <c r="L96" i="28" s="1"/>
  <c r="M96" i="28" s="1"/>
  <c r="J95" i="28"/>
  <c r="K95" i="28" s="1"/>
  <c r="G95" i="28"/>
  <c r="L95" i="28" s="1"/>
  <c r="M95" i="28" s="1"/>
  <c r="J94" i="28"/>
  <c r="K94" i="28" s="1"/>
  <c r="G94" i="28"/>
  <c r="L94" i="28" s="1"/>
  <c r="M94" i="28" s="1"/>
  <c r="J90" i="28"/>
  <c r="G90" i="28"/>
  <c r="L90" i="28" s="1"/>
  <c r="D90" i="28"/>
  <c r="M90" i="28" s="1"/>
  <c r="J89" i="28"/>
  <c r="K89" i="28" s="1"/>
  <c r="G89" i="28"/>
  <c r="L89" i="28" s="1"/>
  <c r="M89" i="28" s="1"/>
  <c r="J88" i="28"/>
  <c r="K88" i="28" s="1"/>
  <c r="G88" i="28"/>
  <c r="L88" i="28" s="1"/>
  <c r="M88" i="28" s="1"/>
  <c r="J84" i="28"/>
  <c r="K84" i="28" s="1"/>
  <c r="E84" i="28"/>
  <c r="G84" i="28" s="1"/>
  <c r="L84" i="28" s="1"/>
  <c r="M84" i="28" s="1"/>
  <c r="J83" i="28"/>
  <c r="G83" i="28"/>
  <c r="L83" i="28" s="1"/>
  <c r="D83" i="28"/>
  <c r="M83" i="28" s="1"/>
  <c r="J82" i="28"/>
  <c r="K82" i="28" s="1"/>
  <c r="G82" i="28"/>
  <c r="L82" i="28" s="1"/>
  <c r="M82" i="28" s="1"/>
  <c r="J81" i="28"/>
  <c r="K81" i="28" s="1"/>
  <c r="G81" i="28"/>
  <c r="L81" i="28" s="1"/>
  <c r="M81" i="28" s="1"/>
  <c r="J80" i="28"/>
  <c r="K80" i="28" s="1"/>
  <c r="G80" i="28"/>
  <c r="L80" i="28" s="1"/>
  <c r="M80" i="28" s="1"/>
  <c r="J79" i="28"/>
  <c r="K79" i="28" s="1"/>
  <c r="G79" i="28"/>
  <c r="L79" i="28" s="1"/>
  <c r="M79" i="28" s="1"/>
  <c r="J78" i="28"/>
  <c r="K78" i="28" s="1"/>
  <c r="G78" i="28"/>
  <c r="L78" i="28" s="1"/>
  <c r="M78" i="28" s="1"/>
  <c r="J70" i="28"/>
  <c r="K70" i="28" s="1"/>
  <c r="G70" i="28"/>
  <c r="L70" i="28" s="1"/>
  <c r="M70" i="28" s="1"/>
  <c r="J68" i="28"/>
  <c r="K68" i="28" s="1"/>
  <c r="G68" i="28"/>
  <c r="L68" i="28" s="1"/>
  <c r="M68" i="28" s="1"/>
  <c r="H65" i="28"/>
  <c r="J65" i="28" s="1"/>
  <c r="K65" i="28" s="1"/>
  <c r="G65" i="28"/>
  <c r="L65" i="28" s="1"/>
  <c r="M65" i="28" s="1"/>
  <c r="H63" i="28"/>
  <c r="J63" i="28" s="1"/>
  <c r="K63" i="28" s="1"/>
  <c r="E63" i="28"/>
  <c r="G63" i="28" s="1"/>
  <c r="L63" i="28" s="1"/>
  <c r="M63" i="28" s="1"/>
  <c r="J61" i="28"/>
  <c r="K61" i="28" s="1"/>
  <c r="G61" i="28"/>
  <c r="L61" i="28" s="1"/>
  <c r="M61" i="28" s="1"/>
  <c r="J59" i="28"/>
  <c r="K59" i="28" s="1"/>
  <c r="G59" i="28"/>
  <c r="L59" i="28" s="1"/>
  <c r="M59" i="28" s="1"/>
  <c r="J57" i="28"/>
  <c r="K57" i="28" s="1"/>
  <c r="E57" i="28"/>
  <c r="G57" i="28" s="1"/>
  <c r="L57" i="28" s="1"/>
  <c r="M57" i="28" s="1"/>
  <c r="J55" i="28"/>
  <c r="K55" i="28" s="1"/>
  <c r="E55" i="28"/>
  <c r="G55" i="28" s="1"/>
  <c r="L55" i="28" s="1"/>
  <c r="M55" i="28" s="1"/>
  <c r="J53" i="28"/>
  <c r="K53" i="28" s="1"/>
  <c r="G53" i="28"/>
  <c r="L53" i="28" s="1"/>
  <c r="M53" i="28" s="1"/>
  <c r="H51" i="28"/>
  <c r="J51" i="28" s="1"/>
  <c r="K51" i="28" s="1"/>
  <c r="G51" i="28"/>
  <c r="L51" i="28" s="1"/>
  <c r="M51" i="28" s="1"/>
  <c r="H47" i="28"/>
  <c r="J47" i="28" s="1"/>
  <c r="K47" i="28" s="1"/>
  <c r="E47" i="28"/>
  <c r="G47" i="28" s="1"/>
  <c r="L47" i="28" s="1"/>
  <c r="M47" i="28" s="1"/>
  <c r="H45" i="28"/>
  <c r="J45" i="28" s="1"/>
  <c r="K45" i="28" s="1"/>
  <c r="E45" i="28"/>
  <c r="G45" i="28" s="1"/>
  <c r="L45" i="28" s="1"/>
  <c r="M45" i="28" s="1"/>
  <c r="H43" i="28"/>
  <c r="J43" i="28" s="1"/>
  <c r="G43" i="28"/>
  <c r="L43" i="28" s="1"/>
  <c r="D43" i="28"/>
  <c r="M43" i="28" s="1"/>
  <c r="H41" i="28"/>
  <c r="J41" i="28" s="1"/>
  <c r="K41" i="28" s="1"/>
  <c r="G41" i="28"/>
  <c r="L41" i="28" s="1"/>
  <c r="M41" i="28" s="1"/>
  <c r="H37" i="28"/>
  <c r="J37" i="28" s="1"/>
  <c r="K37" i="28" s="1"/>
  <c r="G37" i="28"/>
  <c r="L37" i="28" s="1"/>
  <c r="M37" i="28" s="1"/>
  <c r="H36" i="28"/>
  <c r="J36" i="28" s="1"/>
  <c r="K36" i="28" s="1"/>
  <c r="E36" i="28"/>
  <c r="G36" i="28" s="1"/>
  <c r="L36" i="28" s="1"/>
  <c r="M36" i="28" s="1"/>
  <c r="H33" i="28"/>
  <c r="J33" i="28" s="1"/>
  <c r="K33" i="28" s="1"/>
  <c r="E33" i="28"/>
  <c r="G33" i="28" s="1"/>
  <c r="L33" i="28" s="1"/>
  <c r="M33" i="28" s="1"/>
  <c r="H32" i="28"/>
  <c r="J32" i="28" s="1"/>
  <c r="K32" i="28" s="1"/>
  <c r="E32" i="28"/>
  <c r="G32" i="28" s="1"/>
  <c r="L32" i="28" s="1"/>
  <c r="M32" i="28" s="1"/>
  <c r="H31" i="28"/>
  <c r="J31" i="28" s="1"/>
  <c r="E31" i="28"/>
  <c r="G31" i="28" s="1"/>
  <c r="L31" i="28" s="1"/>
  <c r="D31" i="28"/>
  <c r="M31" i="28" s="1"/>
  <c r="H30" i="28"/>
  <c r="J30" i="28" s="1"/>
  <c r="K30" i="28" s="1"/>
  <c r="E30" i="28"/>
  <c r="G30" i="28" s="1"/>
  <c r="L30" i="28" s="1"/>
  <c r="M30" i="28" s="1"/>
  <c r="H27" i="28"/>
  <c r="J27" i="28" s="1"/>
  <c r="K27" i="28" s="1"/>
  <c r="E27" i="28"/>
  <c r="G27" i="28" s="1"/>
  <c r="L27" i="28" s="1"/>
  <c r="M27" i="28" s="1"/>
  <c r="G26" i="28"/>
  <c r="D26" i="28"/>
  <c r="H23" i="28"/>
  <c r="J23" i="28" s="1"/>
  <c r="K23" i="28" s="1"/>
  <c r="E23" i="28"/>
  <c r="G23" i="28" s="1"/>
  <c r="L23" i="28" s="1"/>
  <c r="M23" i="28" s="1"/>
  <c r="H20" i="28"/>
  <c r="J20" i="28" s="1"/>
  <c r="K20" i="28" s="1"/>
  <c r="G20" i="28"/>
  <c r="L20" i="28" s="1"/>
  <c r="M20" i="28" s="1"/>
  <c r="H18" i="28"/>
  <c r="J18" i="28" s="1"/>
  <c r="K18" i="28" s="1"/>
  <c r="G18" i="28"/>
  <c r="L18" i="28" s="1"/>
  <c r="M18" i="28" s="1"/>
  <c r="H17" i="28"/>
  <c r="J17" i="28" s="1"/>
  <c r="K17" i="28" s="1"/>
  <c r="G17" i="28"/>
  <c r="L17" i="28" s="1"/>
  <c r="M17" i="28" s="1"/>
  <c r="H14" i="28"/>
  <c r="J14" i="28" s="1"/>
  <c r="K14" i="28" s="1"/>
  <c r="G14" i="28"/>
  <c r="L14" i="28" s="1"/>
  <c r="M14" i="28" s="1"/>
  <c r="J11" i="28"/>
  <c r="K11" i="28" s="1"/>
  <c r="E11" i="28"/>
  <c r="G11" i="28" s="1"/>
  <c r="L11" i="28" s="1"/>
  <c r="M11" i="28" s="1"/>
  <c r="A2" i="28"/>
  <c r="K153" i="27"/>
  <c r="E153" i="27"/>
  <c r="G153" i="27" s="1"/>
  <c r="L153" i="27" s="1"/>
  <c r="M153" i="27" s="1"/>
  <c r="K152" i="27"/>
  <c r="K151" i="27"/>
  <c r="K149" i="27"/>
  <c r="E149" i="27"/>
  <c r="G149" i="27" s="1"/>
  <c r="L149" i="27" s="1"/>
  <c r="M149" i="27" s="1"/>
  <c r="K148" i="27"/>
  <c r="E148" i="27"/>
  <c r="G148" i="27" s="1"/>
  <c r="L148" i="27" s="1"/>
  <c r="M148" i="27" s="1"/>
  <c r="K147" i="27"/>
  <c r="K145" i="27"/>
  <c r="E145" i="27"/>
  <c r="G145" i="27" s="1"/>
  <c r="L145" i="27" s="1"/>
  <c r="M145" i="27" s="1"/>
  <c r="K144" i="27"/>
  <c r="K142" i="27"/>
  <c r="G142" i="27"/>
  <c r="L142" i="27" s="1"/>
  <c r="M142" i="27" s="1"/>
  <c r="K141" i="27"/>
  <c r="K139" i="27"/>
  <c r="H138" i="27"/>
  <c r="K138" i="27" s="1"/>
  <c r="G138" i="27"/>
  <c r="L138" i="27" s="1"/>
  <c r="M138" i="27" s="1"/>
  <c r="J134" i="27"/>
  <c r="K134" i="27" s="1"/>
  <c r="E134" i="27"/>
  <c r="G134" i="27" s="1"/>
  <c r="L134" i="27" s="1"/>
  <c r="M134" i="27" s="1"/>
  <c r="H133" i="27"/>
  <c r="J133" i="27" s="1"/>
  <c r="K133" i="27" s="1"/>
  <c r="E133" i="27"/>
  <c r="G133" i="27" s="1"/>
  <c r="L133" i="27" s="1"/>
  <c r="M133" i="27" s="1"/>
  <c r="H132" i="27"/>
  <c r="J132" i="27" s="1"/>
  <c r="K132" i="27" s="1"/>
  <c r="G132" i="27"/>
  <c r="L132" i="27" s="1"/>
  <c r="M132" i="27" s="1"/>
  <c r="H131" i="27"/>
  <c r="J131" i="27" s="1"/>
  <c r="K131" i="27" s="1"/>
  <c r="G131" i="27"/>
  <c r="L131" i="27" s="1"/>
  <c r="M131" i="27" s="1"/>
  <c r="H125" i="27"/>
  <c r="J125" i="27" s="1"/>
  <c r="K125" i="27" s="1"/>
  <c r="G125" i="27"/>
  <c r="L125" i="27" s="1"/>
  <c r="M125" i="27" s="1"/>
  <c r="H121" i="27"/>
  <c r="J121" i="27" s="1"/>
  <c r="K121" i="27" s="1"/>
  <c r="E121" i="27"/>
  <c r="G121" i="27" s="1"/>
  <c r="L121" i="27" s="1"/>
  <c r="M121" i="27" s="1"/>
  <c r="H120" i="27"/>
  <c r="J120" i="27" s="1"/>
  <c r="K120" i="27" s="1"/>
  <c r="E120" i="27"/>
  <c r="G120" i="27" s="1"/>
  <c r="L120" i="27" s="1"/>
  <c r="M120" i="27" s="1"/>
  <c r="J114" i="27"/>
  <c r="K114" i="27" s="1"/>
  <c r="G114" i="27"/>
  <c r="L114" i="27" s="1"/>
  <c r="M114" i="27" s="1"/>
  <c r="J113" i="27"/>
  <c r="K113" i="27" s="1"/>
  <c r="G113" i="27"/>
  <c r="L113" i="27" s="1"/>
  <c r="M113" i="27" s="1"/>
  <c r="J112" i="27"/>
  <c r="K112" i="27" s="1"/>
  <c r="G112" i="27"/>
  <c r="L112" i="27" s="1"/>
  <c r="M112" i="27" s="1"/>
  <c r="J111" i="27"/>
  <c r="K111" i="27" s="1"/>
  <c r="G111" i="27"/>
  <c r="L111" i="27" s="1"/>
  <c r="M111" i="27" s="1"/>
  <c r="J110" i="27"/>
  <c r="K110" i="27" s="1"/>
  <c r="G110" i="27"/>
  <c r="L110" i="27" s="1"/>
  <c r="M110" i="27" s="1"/>
  <c r="J109" i="27"/>
  <c r="K109" i="27" s="1"/>
  <c r="G109" i="27"/>
  <c r="L109" i="27" s="1"/>
  <c r="M109" i="27" s="1"/>
  <c r="J108" i="27"/>
  <c r="K108" i="27" s="1"/>
  <c r="G108" i="27"/>
  <c r="L108" i="27" s="1"/>
  <c r="M108" i="27" s="1"/>
  <c r="J107" i="27"/>
  <c r="K107" i="27" s="1"/>
  <c r="G107" i="27"/>
  <c r="L107" i="27" s="1"/>
  <c r="M107" i="27" s="1"/>
  <c r="H106" i="27"/>
  <c r="J106" i="27" s="1"/>
  <c r="K106" i="27" s="1"/>
  <c r="G106" i="27"/>
  <c r="L106" i="27" s="1"/>
  <c r="M106" i="27" s="1"/>
  <c r="H105" i="27"/>
  <c r="J105" i="27" s="1"/>
  <c r="K105" i="27" s="1"/>
  <c r="E105" i="27"/>
  <c r="G105" i="27" s="1"/>
  <c r="L105" i="27" s="1"/>
  <c r="M105" i="27" s="1"/>
  <c r="H104" i="27"/>
  <c r="J104" i="27" s="1"/>
  <c r="K104" i="27" s="1"/>
  <c r="G104" i="27"/>
  <c r="L104" i="27" s="1"/>
  <c r="M104" i="27" s="1"/>
  <c r="H103" i="27"/>
  <c r="J103" i="27" s="1"/>
  <c r="K103" i="27" s="1"/>
  <c r="E103" i="27"/>
  <c r="G103" i="27" s="1"/>
  <c r="L103" i="27" s="1"/>
  <c r="M103" i="27" s="1"/>
  <c r="H102" i="27"/>
  <c r="J102" i="27" s="1"/>
  <c r="K102" i="27" s="1"/>
  <c r="E102" i="27"/>
  <c r="G102" i="27" s="1"/>
  <c r="L102" i="27" s="1"/>
  <c r="M102" i="27" s="1"/>
  <c r="J96" i="27"/>
  <c r="K96" i="27" s="1"/>
  <c r="G96" i="27"/>
  <c r="L96" i="27" s="1"/>
  <c r="M96" i="27" s="1"/>
  <c r="J95" i="27"/>
  <c r="K95" i="27" s="1"/>
  <c r="G95" i="27"/>
  <c r="L95" i="27" s="1"/>
  <c r="M95" i="27" s="1"/>
  <c r="J94" i="27"/>
  <c r="K94" i="27" s="1"/>
  <c r="G94" i="27"/>
  <c r="L94" i="27" s="1"/>
  <c r="M94" i="27" s="1"/>
  <c r="J90" i="27"/>
  <c r="G90" i="27"/>
  <c r="L90" i="27" s="1"/>
  <c r="D90" i="27"/>
  <c r="M90" i="27" s="1"/>
  <c r="J89" i="27"/>
  <c r="K89" i="27" s="1"/>
  <c r="G89" i="27"/>
  <c r="L89" i="27" s="1"/>
  <c r="M89" i="27" s="1"/>
  <c r="J88" i="27"/>
  <c r="K88" i="27" s="1"/>
  <c r="G88" i="27"/>
  <c r="L88" i="27" s="1"/>
  <c r="M88" i="27" s="1"/>
  <c r="J84" i="27"/>
  <c r="K84" i="27" s="1"/>
  <c r="E84" i="27"/>
  <c r="G84" i="27" s="1"/>
  <c r="L84" i="27" s="1"/>
  <c r="M84" i="27" s="1"/>
  <c r="J83" i="27"/>
  <c r="G83" i="27"/>
  <c r="L83" i="27" s="1"/>
  <c r="D83" i="27"/>
  <c r="M83" i="27" s="1"/>
  <c r="J82" i="27"/>
  <c r="K82" i="27" s="1"/>
  <c r="G82" i="27"/>
  <c r="L82" i="27" s="1"/>
  <c r="M82" i="27" s="1"/>
  <c r="J81" i="27"/>
  <c r="K81" i="27" s="1"/>
  <c r="G81" i="27"/>
  <c r="L81" i="27" s="1"/>
  <c r="M81" i="27" s="1"/>
  <c r="J80" i="27"/>
  <c r="K80" i="27" s="1"/>
  <c r="G80" i="27"/>
  <c r="L80" i="27" s="1"/>
  <c r="M80" i="27" s="1"/>
  <c r="J79" i="27"/>
  <c r="K79" i="27" s="1"/>
  <c r="G79" i="27"/>
  <c r="L79" i="27" s="1"/>
  <c r="M79" i="27" s="1"/>
  <c r="J78" i="27"/>
  <c r="K78" i="27" s="1"/>
  <c r="G78" i="27"/>
  <c r="L78" i="27" s="1"/>
  <c r="M78" i="27" s="1"/>
  <c r="J70" i="27"/>
  <c r="K70" i="27" s="1"/>
  <c r="G70" i="27"/>
  <c r="L70" i="27" s="1"/>
  <c r="M70" i="27" s="1"/>
  <c r="J68" i="27"/>
  <c r="K68" i="27" s="1"/>
  <c r="G68" i="27"/>
  <c r="L68" i="27" s="1"/>
  <c r="M68" i="27" s="1"/>
  <c r="H65" i="27"/>
  <c r="J65" i="27" s="1"/>
  <c r="K65" i="27" s="1"/>
  <c r="G65" i="27"/>
  <c r="L65" i="27" s="1"/>
  <c r="M65" i="27" s="1"/>
  <c r="H63" i="27"/>
  <c r="J63" i="27" s="1"/>
  <c r="K63" i="27" s="1"/>
  <c r="E63" i="27"/>
  <c r="G63" i="27" s="1"/>
  <c r="L63" i="27" s="1"/>
  <c r="M63" i="27" s="1"/>
  <c r="J61" i="27"/>
  <c r="K61" i="27" s="1"/>
  <c r="G61" i="27"/>
  <c r="L61" i="27" s="1"/>
  <c r="M61" i="27" s="1"/>
  <c r="J59" i="27"/>
  <c r="K59" i="27" s="1"/>
  <c r="G59" i="27"/>
  <c r="L59" i="27" s="1"/>
  <c r="M59" i="27" s="1"/>
  <c r="J57" i="27"/>
  <c r="K57" i="27" s="1"/>
  <c r="E57" i="27"/>
  <c r="G57" i="27" s="1"/>
  <c r="L57" i="27" s="1"/>
  <c r="M57" i="27" s="1"/>
  <c r="J55" i="27"/>
  <c r="K55" i="27" s="1"/>
  <c r="E55" i="27"/>
  <c r="G55" i="27" s="1"/>
  <c r="L55" i="27" s="1"/>
  <c r="M55" i="27" s="1"/>
  <c r="J53" i="27"/>
  <c r="K53" i="27" s="1"/>
  <c r="G53" i="27"/>
  <c r="L53" i="27" s="1"/>
  <c r="M53" i="27" s="1"/>
  <c r="H51" i="27"/>
  <c r="J51" i="27" s="1"/>
  <c r="K51" i="27" s="1"/>
  <c r="G51" i="27"/>
  <c r="L51" i="27" s="1"/>
  <c r="M51" i="27" s="1"/>
  <c r="H47" i="27"/>
  <c r="J47" i="27" s="1"/>
  <c r="K47" i="27" s="1"/>
  <c r="E47" i="27"/>
  <c r="G47" i="27" s="1"/>
  <c r="L47" i="27" s="1"/>
  <c r="M47" i="27" s="1"/>
  <c r="H45" i="27"/>
  <c r="J45" i="27" s="1"/>
  <c r="K45" i="27" s="1"/>
  <c r="E45" i="27"/>
  <c r="G45" i="27" s="1"/>
  <c r="L45" i="27" s="1"/>
  <c r="M45" i="27" s="1"/>
  <c r="H43" i="27"/>
  <c r="J43" i="27" s="1"/>
  <c r="G43" i="27"/>
  <c r="L43" i="27" s="1"/>
  <c r="D43" i="27"/>
  <c r="M43" i="27" s="1"/>
  <c r="H41" i="27"/>
  <c r="J41" i="27" s="1"/>
  <c r="K41" i="27" s="1"/>
  <c r="G41" i="27"/>
  <c r="L41" i="27" s="1"/>
  <c r="M41" i="27" s="1"/>
  <c r="H37" i="27"/>
  <c r="J37" i="27" s="1"/>
  <c r="K37" i="27" s="1"/>
  <c r="G37" i="27"/>
  <c r="L37" i="27" s="1"/>
  <c r="M37" i="27" s="1"/>
  <c r="H36" i="27"/>
  <c r="J36" i="27" s="1"/>
  <c r="K36" i="27" s="1"/>
  <c r="E36" i="27"/>
  <c r="G36" i="27" s="1"/>
  <c r="L36" i="27" s="1"/>
  <c r="M36" i="27" s="1"/>
  <c r="H33" i="27"/>
  <c r="J33" i="27" s="1"/>
  <c r="K33" i="27" s="1"/>
  <c r="E33" i="27"/>
  <c r="G33" i="27" s="1"/>
  <c r="L33" i="27" s="1"/>
  <c r="M33" i="27" s="1"/>
  <c r="H32" i="27"/>
  <c r="J32" i="27" s="1"/>
  <c r="K32" i="27" s="1"/>
  <c r="E32" i="27"/>
  <c r="G32" i="27" s="1"/>
  <c r="L32" i="27" s="1"/>
  <c r="M32" i="27" s="1"/>
  <c r="H31" i="27"/>
  <c r="J31" i="27" s="1"/>
  <c r="E31" i="27"/>
  <c r="G31" i="27" s="1"/>
  <c r="L31" i="27" s="1"/>
  <c r="D31" i="27"/>
  <c r="M31" i="27" s="1"/>
  <c r="H30" i="27"/>
  <c r="J30" i="27" s="1"/>
  <c r="K30" i="27" s="1"/>
  <c r="E30" i="27"/>
  <c r="G30" i="27" s="1"/>
  <c r="L30" i="27" s="1"/>
  <c r="M30" i="27" s="1"/>
  <c r="H27" i="27"/>
  <c r="J27" i="27" s="1"/>
  <c r="K27" i="27" s="1"/>
  <c r="E27" i="27"/>
  <c r="G27" i="27" s="1"/>
  <c r="L27" i="27" s="1"/>
  <c r="M27" i="27" s="1"/>
  <c r="G26" i="27"/>
  <c r="D26" i="27"/>
  <c r="H23" i="27"/>
  <c r="J23" i="27" s="1"/>
  <c r="K23" i="27" s="1"/>
  <c r="E23" i="27"/>
  <c r="G23" i="27" s="1"/>
  <c r="L23" i="27" s="1"/>
  <c r="M23" i="27" s="1"/>
  <c r="H20" i="27"/>
  <c r="J20" i="27" s="1"/>
  <c r="K20" i="27" s="1"/>
  <c r="G20" i="27"/>
  <c r="L20" i="27" s="1"/>
  <c r="M20" i="27" s="1"/>
  <c r="H18" i="27"/>
  <c r="J18" i="27" s="1"/>
  <c r="K18" i="27" s="1"/>
  <c r="G18" i="27"/>
  <c r="L18" i="27" s="1"/>
  <c r="M18" i="27" s="1"/>
  <c r="H17" i="27"/>
  <c r="J17" i="27" s="1"/>
  <c r="K17" i="27" s="1"/>
  <c r="G17" i="27"/>
  <c r="L17" i="27" s="1"/>
  <c r="M17" i="27" s="1"/>
  <c r="H14" i="27"/>
  <c r="J14" i="27" s="1"/>
  <c r="K14" i="27" s="1"/>
  <c r="G14" i="27"/>
  <c r="L14" i="27" s="1"/>
  <c r="M14" i="27" s="1"/>
  <c r="J11" i="27"/>
  <c r="K11" i="27" s="1"/>
  <c r="E11" i="27"/>
  <c r="G11" i="27" s="1"/>
  <c r="L11" i="27" s="1"/>
  <c r="M11" i="27" s="1"/>
  <c r="A2" i="27"/>
  <c r="K146" i="26"/>
  <c r="E146" i="26"/>
  <c r="G146" i="26" s="1"/>
  <c r="L146" i="26" s="1"/>
  <c r="M146" i="26" s="1"/>
  <c r="K145" i="26"/>
  <c r="K144" i="26"/>
  <c r="K142" i="26"/>
  <c r="E142" i="26"/>
  <c r="G142" i="26" s="1"/>
  <c r="L142" i="26" s="1"/>
  <c r="M142" i="26" s="1"/>
  <c r="K141" i="26"/>
  <c r="E141" i="26"/>
  <c r="G141" i="26" s="1"/>
  <c r="L141" i="26" s="1"/>
  <c r="M141" i="26" s="1"/>
  <c r="K140" i="26"/>
  <c r="K138" i="26"/>
  <c r="E138" i="26"/>
  <c r="G138" i="26" s="1"/>
  <c r="L138" i="26" s="1"/>
  <c r="M138" i="26" s="1"/>
  <c r="K137" i="26"/>
  <c r="K135" i="26"/>
  <c r="G135" i="26"/>
  <c r="L135" i="26" s="1"/>
  <c r="M135" i="26" s="1"/>
  <c r="K134" i="26"/>
  <c r="K132" i="26"/>
  <c r="H131" i="26"/>
  <c r="K131" i="26" s="1"/>
  <c r="G131" i="26"/>
  <c r="L131" i="26" s="1"/>
  <c r="M131" i="26" s="1"/>
  <c r="J127" i="26"/>
  <c r="K127" i="26" s="1"/>
  <c r="E127" i="26"/>
  <c r="G127" i="26" s="1"/>
  <c r="L127" i="26" s="1"/>
  <c r="M127" i="26" s="1"/>
  <c r="H126" i="26"/>
  <c r="J126" i="26" s="1"/>
  <c r="K126" i="26" s="1"/>
  <c r="E126" i="26"/>
  <c r="G126" i="26" s="1"/>
  <c r="L126" i="26" s="1"/>
  <c r="M126" i="26" s="1"/>
  <c r="H125" i="26"/>
  <c r="J125" i="26" s="1"/>
  <c r="K125" i="26" s="1"/>
  <c r="G125" i="26"/>
  <c r="L125" i="26" s="1"/>
  <c r="M125" i="26" s="1"/>
  <c r="H124" i="26"/>
  <c r="J124" i="26" s="1"/>
  <c r="K124" i="26" s="1"/>
  <c r="G124" i="26"/>
  <c r="L124" i="26" s="1"/>
  <c r="M124" i="26" s="1"/>
  <c r="H118" i="26"/>
  <c r="J118" i="26" s="1"/>
  <c r="K118" i="26" s="1"/>
  <c r="G118" i="26"/>
  <c r="L118" i="26" s="1"/>
  <c r="M118" i="26" s="1"/>
  <c r="H114" i="26"/>
  <c r="J114" i="26" s="1"/>
  <c r="K114" i="26" s="1"/>
  <c r="E114" i="26"/>
  <c r="G114" i="26" s="1"/>
  <c r="L114" i="26" s="1"/>
  <c r="M114" i="26" s="1"/>
  <c r="H113" i="26"/>
  <c r="J113" i="26" s="1"/>
  <c r="K113" i="26" s="1"/>
  <c r="E113" i="26"/>
  <c r="G113" i="26" s="1"/>
  <c r="L113" i="26" s="1"/>
  <c r="M113" i="26" s="1"/>
  <c r="J107" i="26"/>
  <c r="K107" i="26" s="1"/>
  <c r="G107" i="26"/>
  <c r="L107" i="26" s="1"/>
  <c r="M107" i="26" s="1"/>
  <c r="J106" i="26"/>
  <c r="K106" i="26" s="1"/>
  <c r="G106" i="26"/>
  <c r="L106" i="26" s="1"/>
  <c r="M106" i="26" s="1"/>
  <c r="J105" i="26"/>
  <c r="K105" i="26" s="1"/>
  <c r="G105" i="26"/>
  <c r="L105" i="26" s="1"/>
  <c r="M105" i="26" s="1"/>
  <c r="J104" i="26"/>
  <c r="K104" i="26" s="1"/>
  <c r="G104" i="26"/>
  <c r="L104" i="26" s="1"/>
  <c r="M104" i="26" s="1"/>
  <c r="J103" i="26"/>
  <c r="K103" i="26" s="1"/>
  <c r="G103" i="26"/>
  <c r="L103" i="26" s="1"/>
  <c r="M103" i="26" s="1"/>
  <c r="J102" i="26"/>
  <c r="K102" i="26" s="1"/>
  <c r="G102" i="26"/>
  <c r="L102" i="26" s="1"/>
  <c r="M102" i="26" s="1"/>
  <c r="J101" i="26"/>
  <c r="K101" i="26" s="1"/>
  <c r="G101" i="26"/>
  <c r="L101" i="26" s="1"/>
  <c r="M101" i="26" s="1"/>
  <c r="J100" i="26"/>
  <c r="K100" i="26" s="1"/>
  <c r="G100" i="26"/>
  <c r="L100" i="26" s="1"/>
  <c r="M100" i="26" s="1"/>
  <c r="H99" i="26"/>
  <c r="J99" i="26" s="1"/>
  <c r="K99" i="26" s="1"/>
  <c r="G99" i="26"/>
  <c r="L99" i="26" s="1"/>
  <c r="M99" i="26" s="1"/>
  <c r="H98" i="26"/>
  <c r="J98" i="26" s="1"/>
  <c r="K98" i="26" s="1"/>
  <c r="E98" i="26"/>
  <c r="G98" i="26" s="1"/>
  <c r="L98" i="26" s="1"/>
  <c r="M98" i="26" s="1"/>
  <c r="H97" i="26"/>
  <c r="J97" i="26" s="1"/>
  <c r="K97" i="26" s="1"/>
  <c r="E97" i="26"/>
  <c r="G97" i="26" s="1"/>
  <c r="L97" i="26" s="1"/>
  <c r="M97" i="26" s="1"/>
  <c r="J91" i="26"/>
  <c r="K91" i="26" s="1"/>
  <c r="G91" i="26"/>
  <c r="L91" i="26" s="1"/>
  <c r="M91" i="26" s="1"/>
  <c r="J90" i="26"/>
  <c r="K90" i="26" s="1"/>
  <c r="G90" i="26"/>
  <c r="L90" i="26" s="1"/>
  <c r="M90" i="26" s="1"/>
  <c r="J89" i="26"/>
  <c r="K89" i="26" s="1"/>
  <c r="G89" i="26"/>
  <c r="L89" i="26" s="1"/>
  <c r="M89" i="26" s="1"/>
  <c r="J85" i="26"/>
  <c r="G85" i="26"/>
  <c r="L85" i="26" s="1"/>
  <c r="D85" i="26"/>
  <c r="M85" i="26" s="1"/>
  <c r="J84" i="26"/>
  <c r="K84" i="26" s="1"/>
  <c r="G84" i="26"/>
  <c r="L84" i="26" s="1"/>
  <c r="M84" i="26" s="1"/>
  <c r="J83" i="26"/>
  <c r="K83" i="26" s="1"/>
  <c r="G83" i="26"/>
  <c r="L83" i="26" s="1"/>
  <c r="M83" i="26" s="1"/>
  <c r="J79" i="26"/>
  <c r="K79" i="26" s="1"/>
  <c r="E79" i="26"/>
  <c r="G79" i="26" s="1"/>
  <c r="L79" i="26" s="1"/>
  <c r="M79" i="26" s="1"/>
  <c r="J78" i="26"/>
  <c r="K78" i="26" s="1"/>
  <c r="G78" i="26"/>
  <c r="L78" i="26" s="1"/>
  <c r="M78" i="26" s="1"/>
  <c r="J77" i="26"/>
  <c r="K77" i="26" s="1"/>
  <c r="G77" i="26"/>
  <c r="L77" i="26" s="1"/>
  <c r="M77" i="26" s="1"/>
  <c r="J76" i="26"/>
  <c r="K76" i="26" s="1"/>
  <c r="G76" i="26"/>
  <c r="L76" i="26" s="1"/>
  <c r="M76" i="26" s="1"/>
  <c r="J75" i="26"/>
  <c r="G75" i="26"/>
  <c r="L75" i="26" s="1"/>
  <c r="D75" i="26"/>
  <c r="M75" i="26" s="1"/>
  <c r="J74" i="26"/>
  <c r="K74" i="26" s="1"/>
  <c r="G74" i="26"/>
  <c r="L74" i="26" s="1"/>
  <c r="M74" i="26" s="1"/>
  <c r="J66" i="26"/>
  <c r="K66" i="26" s="1"/>
  <c r="G66" i="26"/>
  <c r="L66" i="26" s="1"/>
  <c r="M66" i="26" s="1"/>
  <c r="J64" i="26"/>
  <c r="K64" i="26" s="1"/>
  <c r="G64" i="26"/>
  <c r="L64" i="26" s="1"/>
  <c r="M64" i="26" s="1"/>
  <c r="H61" i="26"/>
  <c r="J61" i="26" s="1"/>
  <c r="K61" i="26" s="1"/>
  <c r="G61" i="26"/>
  <c r="L61" i="26" s="1"/>
  <c r="M61" i="26" s="1"/>
  <c r="H59" i="26"/>
  <c r="J59" i="26" s="1"/>
  <c r="K59" i="26" s="1"/>
  <c r="E59" i="26"/>
  <c r="G59" i="26" s="1"/>
  <c r="L59" i="26" s="1"/>
  <c r="M59" i="26" s="1"/>
  <c r="J57" i="26"/>
  <c r="K57" i="26" s="1"/>
  <c r="G57" i="26"/>
  <c r="L57" i="26" s="1"/>
  <c r="M57" i="26" s="1"/>
  <c r="J55" i="26"/>
  <c r="K55" i="26" s="1"/>
  <c r="E55" i="26"/>
  <c r="G55" i="26" s="1"/>
  <c r="L55" i="26" s="1"/>
  <c r="M55" i="26" s="1"/>
  <c r="J53" i="26"/>
  <c r="G53" i="26"/>
  <c r="L53" i="26" s="1"/>
  <c r="D53" i="26"/>
  <c r="M53" i="26" s="1"/>
  <c r="H51" i="26"/>
  <c r="J51" i="26" s="1"/>
  <c r="K51" i="26" s="1"/>
  <c r="G51" i="26"/>
  <c r="L51" i="26" s="1"/>
  <c r="M51" i="26" s="1"/>
  <c r="H47" i="26"/>
  <c r="J47" i="26" s="1"/>
  <c r="K47" i="26" s="1"/>
  <c r="E47" i="26"/>
  <c r="G47" i="26" s="1"/>
  <c r="L47" i="26" s="1"/>
  <c r="M47" i="26" s="1"/>
  <c r="H45" i="26"/>
  <c r="J45" i="26" s="1"/>
  <c r="E45" i="26"/>
  <c r="G45" i="26" s="1"/>
  <c r="L45" i="26" s="1"/>
  <c r="D45" i="26"/>
  <c r="M45" i="26" s="1"/>
  <c r="H43" i="26"/>
  <c r="J43" i="26" s="1"/>
  <c r="K43" i="26" s="1"/>
  <c r="G43" i="26"/>
  <c r="L43" i="26" s="1"/>
  <c r="M43" i="26" s="1"/>
  <c r="H41" i="26"/>
  <c r="J41" i="26" s="1"/>
  <c r="G41" i="26"/>
  <c r="L41" i="26" s="1"/>
  <c r="D41" i="26"/>
  <c r="M41" i="26" s="1"/>
  <c r="H37" i="26"/>
  <c r="J37" i="26" s="1"/>
  <c r="K37" i="26" s="1"/>
  <c r="E37" i="26"/>
  <c r="G37" i="26" s="1"/>
  <c r="L37" i="26" s="1"/>
  <c r="M37" i="26" s="1"/>
  <c r="H36" i="26"/>
  <c r="J36" i="26" s="1"/>
  <c r="K36" i="26" s="1"/>
  <c r="E36" i="26"/>
  <c r="G36" i="26" s="1"/>
  <c r="L36" i="26" s="1"/>
  <c r="M36" i="26" s="1"/>
  <c r="H33" i="26"/>
  <c r="J33" i="26" s="1"/>
  <c r="K33" i="26" s="1"/>
  <c r="E33" i="26"/>
  <c r="G33" i="26" s="1"/>
  <c r="L33" i="26" s="1"/>
  <c r="M33" i="26" s="1"/>
  <c r="H32" i="26"/>
  <c r="J32" i="26" s="1"/>
  <c r="K32" i="26" s="1"/>
  <c r="E32" i="26"/>
  <c r="G32" i="26" s="1"/>
  <c r="L32" i="26" s="1"/>
  <c r="M32" i="26" s="1"/>
  <c r="H31" i="26"/>
  <c r="J31" i="26" s="1"/>
  <c r="E31" i="26"/>
  <c r="G31" i="26" s="1"/>
  <c r="L31" i="26" s="1"/>
  <c r="D31" i="26"/>
  <c r="M31" i="26" s="1"/>
  <c r="H30" i="26"/>
  <c r="J30" i="26" s="1"/>
  <c r="K30" i="26" s="1"/>
  <c r="E30" i="26"/>
  <c r="G30" i="26" s="1"/>
  <c r="L30" i="26" s="1"/>
  <c r="M30" i="26" s="1"/>
  <c r="H27" i="26"/>
  <c r="J27" i="26" s="1"/>
  <c r="K27" i="26" s="1"/>
  <c r="E27" i="26"/>
  <c r="G27" i="26" s="1"/>
  <c r="L27" i="26" s="1"/>
  <c r="M27" i="26" s="1"/>
  <c r="H26" i="26"/>
  <c r="J26" i="26" s="1"/>
  <c r="K26" i="26" s="1"/>
  <c r="G26" i="26"/>
  <c r="L26" i="26" s="1"/>
  <c r="M26" i="26" s="1"/>
  <c r="H23" i="26"/>
  <c r="J23" i="26" s="1"/>
  <c r="K23" i="26" s="1"/>
  <c r="E23" i="26"/>
  <c r="G23" i="26" s="1"/>
  <c r="L23" i="26" s="1"/>
  <c r="M23" i="26" s="1"/>
  <c r="H20" i="26"/>
  <c r="J20" i="26" s="1"/>
  <c r="K20" i="26" s="1"/>
  <c r="E20" i="26"/>
  <c r="G20" i="26" s="1"/>
  <c r="L20" i="26" s="1"/>
  <c r="M20" i="26" s="1"/>
  <c r="H18" i="26"/>
  <c r="J18" i="26" s="1"/>
  <c r="K18" i="26" s="1"/>
  <c r="G18" i="26"/>
  <c r="L18" i="26" s="1"/>
  <c r="M18" i="26" s="1"/>
  <c r="H17" i="26"/>
  <c r="J17" i="26" s="1"/>
  <c r="K17" i="26" s="1"/>
  <c r="G17" i="26"/>
  <c r="L17" i="26" s="1"/>
  <c r="M17" i="26" s="1"/>
  <c r="H14" i="26"/>
  <c r="J14" i="26" s="1"/>
  <c r="K14" i="26" s="1"/>
  <c r="G14" i="26"/>
  <c r="L14" i="26" s="1"/>
  <c r="M14" i="26" s="1"/>
  <c r="J11" i="26"/>
  <c r="K11" i="26" s="1"/>
  <c r="E11" i="26"/>
  <c r="G11" i="26" s="1"/>
  <c r="L11" i="26" s="1"/>
  <c r="M11" i="26" s="1"/>
  <c r="M149" i="26" s="1"/>
  <c r="N149" i="26" s="1"/>
  <c r="A2" i="26"/>
  <c r="K146" i="25"/>
  <c r="E146" i="25"/>
  <c r="G146" i="25" s="1"/>
  <c r="L146" i="25" s="1"/>
  <c r="M146" i="25" s="1"/>
  <c r="K145" i="25"/>
  <c r="K144" i="25"/>
  <c r="K142" i="25"/>
  <c r="E142" i="25"/>
  <c r="G142" i="25" s="1"/>
  <c r="L142" i="25" s="1"/>
  <c r="M142" i="25" s="1"/>
  <c r="K141" i="25"/>
  <c r="E141" i="25"/>
  <c r="G141" i="25" s="1"/>
  <c r="L141" i="25" s="1"/>
  <c r="M141" i="25" s="1"/>
  <c r="K140" i="25"/>
  <c r="K138" i="25"/>
  <c r="E138" i="25"/>
  <c r="G138" i="25" s="1"/>
  <c r="L138" i="25" s="1"/>
  <c r="M138" i="25" s="1"/>
  <c r="K137" i="25"/>
  <c r="K135" i="25"/>
  <c r="G135" i="25"/>
  <c r="L135" i="25" s="1"/>
  <c r="M135" i="25" s="1"/>
  <c r="K134" i="25"/>
  <c r="K132" i="25"/>
  <c r="H131" i="25"/>
  <c r="K131" i="25" s="1"/>
  <c r="G131" i="25"/>
  <c r="L131" i="25" s="1"/>
  <c r="M131" i="25" s="1"/>
  <c r="J127" i="25"/>
  <c r="K127" i="25" s="1"/>
  <c r="E127" i="25"/>
  <c r="G127" i="25" s="1"/>
  <c r="L127" i="25" s="1"/>
  <c r="M127" i="25" s="1"/>
  <c r="H126" i="25"/>
  <c r="J126" i="25" s="1"/>
  <c r="K126" i="25" s="1"/>
  <c r="E126" i="25"/>
  <c r="G126" i="25" s="1"/>
  <c r="L126" i="25" s="1"/>
  <c r="M126" i="25" s="1"/>
  <c r="H125" i="25"/>
  <c r="J125" i="25" s="1"/>
  <c r="K125" i="25" s="1"/>
  <c r="G125" i="25"/>
  <c r="L125" i="25" s="1"/>
  <c r="M125" i="25" s="1"/>
  <c r="H124" i="25"/>
  <c r="J124" i="25" s="1"/>
  <c r="K124" i="25" s="1"/>
  <c r="G124" i="25"/>
  <c r="L124" i="25" s="1"/>
  <c r="M124" i="25" s="1"/>
  <c r="H118" i="25"/>
  <c r="J118" i="25" s="1"/>
  <c r="K118" i="25" s="1"/>
  <c r="G118" i="25"/>
  <c r="L118" i="25" s="1"/>
  <c r="M118" i="25" s="1"/>
  <c r="H114" i="25"/>
  <c r="J114" i="25" s="1"/>
  <c r="K114" i="25" s="1"/>
  <c r="E114" i="25"/>
  <c r="G114" i="25" s="1"/>
  <c r="L114" i="25" s="1"/>
  <c r="M114" i="25" s="1"/>
  <c r="H113" i="25"/>
  <c r="J113" i="25" s="1"/>
  <c r="K113" i="25" s="1"/>
  <c r="E113" i="25"/>
  <c r="G113" i="25" s="1"/>
  <c r="L113" i="25" s="1"/>
  <c r="M113" i="25" s="1"/>
  <c r="J107" i="25"/>
  <c r="K107" i="25" s="1"/>
  <c r="G107" i="25"/>
  <c r="L107" i="25" s="1"/>
  <c r="M107" i="25" s="1"/>
  <c r="J106" i="25"/>
  <c r="K106" i="25" s="1"/>
  <c r="G106" i="25"/>
  <c r="L106" i="25" s="1"/>
  <c r="M106" i="25" s="1"/>
  <c r="J105" i="25"/>
  <c r="K105" i="25" s="1"/>
  <c r="G105" i="25"/>
  <c r="L105" i="25" s="1"/>
  <c r="M105" i="25" s="1"/>
  <c r="J104" i="25"/>
  <c r="K104" i="25" s="1"/>
  <c r="G104" i="25"/>
  <c r="L104" i="25" s="1"/>
  <c r="M104" i="25" s="1"/>
  <c r="J103" i="25"/>
  <c r="K103" i="25" s="1"/>
  <c r="G103" i="25"/>
  <c r="L103" i="25" s="1"/>
  <c r="M103" i="25" s="1"/>
  <c r="J102" i="25"/>
  <c r="K102" i="25" s="1"/>
  <c r="G102" i="25"/>
  <c r="L102" i="25" s="1"/>
  <c r="M102" i="25" s="1"/>
  <c r="J101" i="25"/>
  <c r="K101" i="25" s="1"/>
  <c r="G101" i="25"/>
  <c r="L101" i="25" s="1"/>
  <c r="M101" i="25" s="1"/>
  <c r="J100" i="25"/>
  <c r="K100" i="25" s="1"/>
  <c r="G100" i="25"/>
  <c r="L100" i="25" s="1"/>
  <c r="M100" i="25" s="1"/>
  <c r="H99" i="25"/>
  <c r="J99" i="25" s="1"/>
  <c r="K99" i="25" s="1"/>
  <c r="G99" i="25"/>
  <c r="L99" i="25" s="1"/>
  <c r="M99" i="25" s="1"/>
  <c r="H98" i="25"/>
  <c r="J98" i="25" s="1"/>
  <c r="K98" i="25" s="1"/>
  <c r="E98" i="25"/>
  <c r="G98" i="25" s="1"/>
  <c r="L98" i="25" s="1"/>
  <c r="M98" i="25" s="1"/>
  <c r="H97" i="25"/>
  <c r="J97" i="25" s="1"/>
  <c r="K97" i="25" s="1"/>
  <c r="E97" i="25"/>
  <c r="G97" i="25" s="1"/>
  <c r="L97" i="25" s="1"/>
  <c r="M97" i="25" s="1"/>
  <c r="J91" i="25"/>
  <c r="K91" i="25" s="1"/>
  <c r="G91" i="25"/>
  <c r="L91" i="25" s="1"/>
  <c r="M91" i="25" s="1"/>
  <c r="J90" i="25"/>
  <c r="K90" i="25" s="1"/>
  <c r="G90" i="25"/>
  <c r="L90" i="25" s="1"/>
  <c r="M90" i="25" s="1"/>
  <c r="J89" i="25"/>
  <c r="K89" i="25" s="1"/>
  <c r="G89" i="25"/>
  <c r="L89" i="25" s="1"/>
  <c r="M89" i="25" s="1"/>
  <c r="J85" i="25"/>
  <c r="G85" i="25"/>
  <c r="L85" i="25" s="1"/>
  <c r="D85" i="25"/>
  <c r="M85" i="25" s="1"/>
  <c r="J84" i="25"/>
  <c r="K84" i="25" s="1"/>
  <c r="G84" i="25"/>
  <c r="L84" i="25" s="1"/>
  <c r="M84" i="25" s="1"/>
  <c r="J83" i="25"/>
  <c r="K83" i="25" s="1"/>
  <c r="G83" i="25"/>
  <c r="L83" i="25" s="1"/>
  <c r="M83" i="25" s="1"/>
  <c r="J79" i="25"/>
  <c r="K79" i="25" s="1"/>
  <c r="E79" i="25"/>
  <c r="G79" i="25" s="1"/>
  <c r="L79" i="25" s="1"/>
  <c r="M79" i="25" s="1"/>
  <c r="J78" i="25"/>
  <c r="K78" i="25" s="1"/>
  <c r="G78" i="25"/>
  <c r="L78" i="25" s="1"/>
  <c r="M78" i="25" s="1"/>
  <c r="J77" i="25"/>
  <c r="K77" i="25" s="1"/>
  <c r="G77" i="25"/>
  <c r="L77" i="25" s="1"/>
  <c r="M77" i="25" s="1"/>
  <c r="J76" i="25"/>
  <c r="K76" i="25" s="1"/>
  <c r="G76" i="25"/>
  <c r="L76" i="25" s="1"/>
  <c r="M76" i="25" s="1"/>
  <c r="J75" i="25"/>
  <c r="G75" i="25"/>
  <c r="L75" i="25" s="1"/>
  <c r="D75" i="25"/>
  <c r="M75" i="25" s="1"/>
  <c r="J74" i="25"/>
  <c r="K74" i="25" s="1"/>
  <c r="G74" i="25"/>
  <c r="L74" i="25" s="1"/>
  <c r="M74" i="25" s="1"/>
  <c r="J66" i="25"/>
  <c r="K66" i="25" s="1"/>
  <c r="G66" i="25"/>
  <c r="L66" i="25" s="1"/>
  <c r="M66" i="25" s="1"/>
  <c r="J64" i="25"/>
  <c r="K64" i="25" s="1"/>
  <c r="G64" i="25"/>
  <c r="L64" i="25" s="1"/>
  <c r="M64" i="25" s="1"/>
  <c r="H61" i="25"/>
  <c r="J61" i="25" s="1"/>
  <c r="K61" i="25" s="1"/>
  <c r="G61" i="25"/>
  <c r="L61" i="25" s="1"/>
  <c r="M61" i="25" s="1"/>
  <c r="H59" i="25"/>
  <c r="J59" i="25" s="1"/>
  <c r="K59" i="25" s="1"/>
  <c r="E59" i="25"/>
  <c r="G59" i="25" s="1"/>
  <c r="L59" i="25" s="1"/>
  <c r="M59" i="25" s="1"/>
  <c r="J57" i="25"/>
  <c r="K57" i="25" s="1"/>
  <c r="G57" i="25"/>
  <c r="L57" i="25" s="1"/>
  <c r="M57" i="25" s="1"/>
  <c r="J55" i="25"/>
  <c r="K55" i="25" s="1"/>
  <c r="E55" i="25"/>
  <c r="G55" i="25" s="1"/>
  <c r="L55" i="25" s="1"/>
  <c r="M55" i="25" s="1"/>
  <c r="J53" i="25"/>
  <c r="G53" i="25"/>
  <c r="L53" i="25" s="1"/>
  <c r="D53" i="25"/>
  <c r="M53" i="25" s="1"/>
  <c r="H51" i="25"/>
  <c r="J51" i="25" s="1"/>
  <c r="K51" i="25" s="1"/>
  <c r="G51" i="25"/>
  <c r="L51" i="25" s="1"/>
  <c r="M51" i="25" s="1"/>
  <c r="H47" i="25"/>
  <c r="J47" i="25" s="1"/>
  <c r="K47" i="25" s="1"/>
  <c r="E47" i="25"/>
  <c r="G47" i="25" s="1"/>
  <c r="L47" i="25" s="1"/>
  <c r="M47" i="25" s="1"/>
  <c r="H45" i="25"/>
  <c r="J45" i="25" s="1"/>
  <c r="E45" i="25"/>
  <c r="G45" i="25" s="1"/>
  <c r="L45" i="25" s="1"/>
  <c r="D45" i="25"/>
  <c r="M45" i="25" s="1"/>
  <c r="H43" i="25"/>
  <c r="J43" i="25" s="1"/>
  <c r="K43" i="25" s="1"/>
  <c r="G43" i="25"/>
  <c r="L43" i="25" s="1"/>
  <c r="M43" i="25" s="1"/>
  <c r="H41" i="25"/>
  <c r="J41" i="25" s="1"/>
  <c r="G41" i="25"/>
  <c r="L41" i="25" s="1"/>
  <c r="D41" i="25"/>
  <c r="M41" i="25" s="1"/>
  <c r="H37" i="25"/>
  <c r="J37" i="25" s="1"/>
  <c r="K37" i="25" s="1"/>
  <c r="E37" i="25"/>
  <c r="G37" i="25" s="1"/>
  <c r="L37" i="25" s="1"/>
  <c r="M37" i="25" s="1"/>
  <c r="H36" i="25"/>
  <c r="J36" i="25" s="1"/>
  <c r="K36" i="25" s="1"/>
  <c r="E36" i="25"/>
  <c r="G36" i="25" s="1"/>
  <c r="L36" i="25" s="1"/>
  <c r="M36" i="25" s="1"/>
  <c r="H33" i="25"/>
  <c r="J33" i="25" s="1"/>
  <c r="K33" i="25" s="1"/>
  <c r="E33" i="25"/>
  <c r="G33" i="25" s="1"/>
  <c r="L33" i="25" s="1"/>
  <c r="M33" i="25" s="1"/>
  <c r="H32" i="25"/>
  <c r="J32" i="25" s="1"/>
  <c r="K32" i="25" s="1"/>
  <c r="E32" i="25"/>
  <c r="G32" i="25" s="1"/>
  <c r="L32" i="25" s="1"/>
  <c r="M32" i="25" s="1"/>
  <c r="H31" i="25"/>
  <c r="J31" i="25" s="1"/>
  <c r="E31" i="25"/>
  <c r="G31" i="25" s="1"/>
  <c r="L31" i="25" s="1"/>
  <c r="D31" i="25"/>
  <c r="M31" i="25" s="1"/>
  <c r="H30" i="25"/>
  <c r="J30" i="25" s="1"/>
  <c r="K30" i="25" s="1"/>
  <c r="E30" i="25"/>
  <c r="G30" i="25" s="1"/>
  <c r="L30" i="25" s="1"/>
  <c r="M30" i="25" s="1"/>
  <c r="H27" i="25"/>
  <c r="J27" i="25" s="1"/>
  <c r="K27" i="25" s="1"/>
  <c r="E27" i="25"/>
  <c r="G27" i="25" s="1"/>
  <c r="L27" i="25" s="1"/>
  <c r="M27" i="25" s="1"/>
  <c r="G26" i="25"/>
  <c r="D26" i="25"/>
  <c r="H23" i="25"/>
  <c r="J23" i="25" s="1"/>
  <c r="K23" i="25" s="1"/>
  <c r="E23" i="25"/>
  <c r="G23" i="25" s="1"/>
  <c r="L23" i="25" s="1"/>
  <c r="M23" i="25" s="1"/>
  <c r="H20" i="25"/>
  <c r="J20" i="25" s="1"/>
  <c r="K20" i="25" s="1"/>
  <c r="G20" i="25"/>
  <c r="L20" i="25" s="1"/>
  <c r="M20" i="25" s="1"/>
  <c r="H18" i="25"/>
  <c r="J18" i="25" s="1"/>
  <c r="K18" i="25" s="1"/>
  <c r="G18" i="25"/>
  <c r="L18" i="25" s="1"/>
  <c r="M18" i="25" s="1"/>
  <c r="H17" i="25"/>
  <c r="J17" i="25" s="1"/>
  <c r="K17" i="25" s="1"/>
  <c r="G17" i="25"/>
  <c r="L17" i="25" s="1"/>
  <c r="M17" i="25" s="1"/>
  <c r="H14" i="25"/>
  <c r="J14" i="25" s="1"/>
  <c r="K14" i="25" s="1"/>
  <c r="G14" i="25"/>
  <c r="L14" i="25" s="1"/>
  <c r="M14" i="25" s="1"/>
  <c r="J11" i="25"/>
  <c r="K11" i="25" s="1"/>
  <c r="E11" i="25"/>
  <c r="G11" i="25" s="1"/>
  <c r="L11" i="25" s="1"/>
  <c r="M11" i="25" s="1"/>
  <c r="A2" i="25"/>
  <c r="K146" i="24"/>
  <c r="E146" i="24"/>
  <c r="G146" i="24" s="1"/>
  <c r="L146" i="24" s="1"/>
  <c r="M146" i="24" s="1"/>
  <c r="K145" i="24"/>
  <c r="K144" i="24"/>
  <c r="K142" i="24"/>
  <c r="E142" i="24"/>
  <c r="G142" i="24" s="1"/>
  <c r="L142" i="24" s="1"/>
  <c r="M142" i="24" s="1"/>
  <c r="K141" i="24"/>
  <c r="E141" i="24"/>
  <c r="G141" i="24" s="1"/>
  <c r="L141" i="24" s="1"/>
  <c r="M141" i="24" s="1"/>
  <c r="K140" i="24"/>
  <c r="K138" i="24"/>
  <c r="E138" i="24"/>
  <c r="G138" i="24" s="1"/>
  <c r="L138" i="24" s="1"/>
  <c r="M138" i="24" s="1"/>
  <c r="K137" i="24"/>
  <c r="K135" i="24"/>
  <c r="G135" i="24"/>
  <c r="L135" i="24" s="1"/>
  <c r="M135" i="24" s="1"/>
  <c r="K134" i="24"/>
  <c r="K132" i="24"/>
  <c r="H131" i="24"/>
  <c r="K131" i="24" s="1"/>
  <c r="G131" i="24"/>
  <c r="L131" i="24" s="1"/>
  <c r="M131" i="24" s="1"/>
  <c r="J127" i="24"/>
  <c r="K127" i="24" s="1"/>
  <c r="E127" i="24"/>
  <c r="G127" i="24" s="1"/>
  <c r="L127" i="24" s="1"/>
  <c r="M127" i="24" s="1"/>
  <c r="H126" i="24"/>
  <c r="J126" i="24" s="1"/>
  <c r="K126" i="24" s="1"/>
  <c r="E126" i="24"/>
  <c r="G126" i="24" s="1"/>
  <c r="L126" i="24" s="1"/>
  <c r="M126" i="24" s="1"/>
  <c r="H125" i="24"/>
  <c r="J125" i="24" s="1"/>
  <c r="K125" i="24" s="1"/>
  <c r="G125" i="24"/>
  <c r="L125" i="24" s="1"/>
  <c r="M125" i="24" s="1"/>
  <c r="H124" i="24"/>
  <c r="J124" i="24" s="1"/>
  <c r="K124" i="24" s="1"/>
  <c r="G124" i="24"/>
  <c r="L124" i="24" s="1"/>
  <c r="M124" i="24" s="1"/>
  <c r="H118" i="24"/>
  <c r="J118" i="24" s="1"/>
  <c r="K118" i="24" s="1"/>
  <c r="G118" i="24"/>
  <c r="L118" i="24" s="1"/>
  <c r="M118" i="24" s="1"/>
  <c r="H114" i="24"/>
  <c r="J114" i="24" s="1"/>
  <c r="K114" i="24" s="1"/>
  <c r="E114" i="24"/>
  <c r="G114" i="24" s="1"/>
  <c r="L114" i="24" s="1"/>
  <c r="M114" i="24" s="1"/>
  <c r="H113" i="24"/>
  <c r="J113" i="24" s="1"/>
  <c r="K113" i="24" s="1"/>
  <c r="E113" i="24"/>
  <c r="G113" i="24" s="1"/>
  <c r="L113" i="24" s="1"/>
  <c r="M113" i="24" s="1"/>
  <c r="J107" i="24"/>
  <c r="K107" i="24" s="1"/>
  <c r="G107" i="24"/>
  <c r="L107" i="24" s="1"/>
  <c r="M107" i="24" s="1"/>
  <c r="J106" i="24"/>
  <c r="K106" i="24" s="1"/>
  <c r="G106" i="24"/>
  <c r="L106" i="24" s="1"/>
  <c r="M106" i="24" s="1"/>
  <c r="J105" i="24"/>
  <c r="K105" i="24" s="1"/>
  <c r="G105" i="24"/>
  <c r="L105" i="24" s="1"/>
  <c r="M105" i="24" s="1"/>
  <c r="J104" i="24"/>
  <c r="K104" i="24" s="1"/>
  <c r="G104" i="24"/>
  <c r="L104" i="24" s="1"/>
  <c r="M104" i="24" s="1"/>
  <c r="J103" i="24"/>
  <c r="K103" i="24" s="1"/>
  <c r="G103" i="24"/>
  <c r="L103" i="24" s="1"/>
  <c r="M103" i="24" s="1"/>
  <c r="J102" i="24"/>
  <c r="K102" i="24" s="1"/>
  <c r="G102" i="24"/>
  <c r="L102" i="24" s="1"/>
  <c r="M102" i="24" s="1"/>
  <c r="J101" i="24"/>
  <c r="K101" i="24" s="1"/>
  <c r="G101" i="24"/>
  <c r="L101" i="24" s="1"/>
  <c r="M101" i="24" s="1"/>
  <c r="J100" i="24"/>
  <c r="K100" i="24" s="1"/>
  <c r="G100" i="24"/>
  <c r="L100" i="24" s="1"/>
  <c r="M100" i="24" s="1"/>
  <c r="H99" i="24"/>
  <c r="J99" i="24" s="1"/>
  <c r="K99" i="24" s="1"/>
  <c r="G99" i="24"/>
  <c r="L99" i="24" s="1"/>
  <c r="M99" i="24" s="1"/>
  <c r="H98" i="24"/>
  <c r="J98" i="24" s="1"/>
  <c r="K98" i="24" s="1"/>
  <c r="E98" i="24"/>
  <c r="G98" i="24" s="1"/>
  <c r="L98" i="24" s="1"/>
  <c r="M98" i="24" s="1"/>
  <c r="H97" i="24"/>
  <c r="J97" i="24" s="1"/>
  <c r="K97" i="24" s="1"/>
  <c r="E97" i="24"/>
  <c r="G97" i="24" s="1"/>
  <c r="L97" i="24" s="1"/>
  <c r="M97" i="24" s="1"/>
  <c r="J91" i="24"/>
  <c r="K91" i="24" s="1"/>
  <c r="G91" i="24"/>
  <c r="L91" i="24" s="1"/>
  <c r="M91" i="24" s="1"/>
  <c r="J90" i="24"/>
  <c r="K90" i="24" s="1"/>
  <c r="G90" i="24"/>
  <c r="L90" i="24" s="1"/>
  <c r="M90" i="24" s="1"/>
  <c r="J89" i="24"/>
  <c r="K89" i="24" s="1"/>
  <c r="G89" i="24"/>
  <c r="L89" i="24" s="1"/>
  <c r="M89" i="24" s="1"/>
  <c r="J85" i="24"/>
  <c r="G85" i="24"/>
  <c r="L85" i="24" s="1"/>
  <c r="D85" i="24"/>
  <c r="M85" i="24" s="1"/>
  <c r="J84" i="24"/>
  <c r="K84" i="24" s="1"/>
  <c r="G84" i="24"/>
  <c r="L84" i="24" s="1"/>
  <c r="M84" i="24" s="1"/>
  <c r="J83" i="24"/>
  <c r="K83" i="24" s="1"/>
  <c r="G83" i="24"/>
  <c r="L83" i="24" s="1"/>
  <c r="M83" i="24" s="1"/>
  <c r="J79" i="24"/>
  <c r="K79" i="24" s="1"/>
  <c r="E79" i="24"/>
  <c r="G79" i="24" s="1"/>
  <c r="L79" i="24" s="1"/>
  <c r="M79" i="24" s="1"/>
  <c r="J78" i="24"/>
  <c r="K78" i="24" s="1"/>
  <c r="G78" i="24"/>
  <c r="L78" i="24" s="1"/>
  <c r="M78" i="24" s="1"/>
  <c r="J77" i="24"/>
  <c r="K77" i="24" s="1"/>
  <c r="G77" i="24"/>
  <c r="L77" i="24" s="1"/>
  <c r="M77" i="24" s="1"/>
  <c r="J76" i="24"/>
  <c r="K76" i="24" s="1"/>
  <c r="G76" i="24"/>
  <c r="L76" i="24" s="1"/>
  <c r="M76" i="24" s="1"/>
  <c r="J75" i="24"/>
  <c r="G75" i="24"/>
  <c r="L75" i="24" s="1"/>
  <c r="D75" i="24"/>
  <c r="M75" i="24" s="1"/>
  <c r="J74" i="24"/>
  <c r="K74" i="24" s="1"/>
  <c r="G74" i="24"/>
  <c r="L74" i="24" s="1"/>
  <c r="M74" i="24" s="1"/>
  <c r="J66" i="24"/>
  <c r="K66" i="24" s="1"/>
  <c r="G66" i="24"/>
  <c r="L66" i="24" s="1"/>
  <c r="M66" i="24" s="1"/>
  <c r="J64" i="24"/>
  <c r="K64" i="24" s="1"/>
  <c r="G64" i="24"/>
  <c r="L64" i="24" s="1"/>
  <c r="M64" i="24" s="1"/>
  <c r="H61" i="24"/>
  <c r="J61" i="24" s="1"/>
  <c r="K61" i="24" s="1"/>
  <c r="G61" i="24"/>
  <c r="L61" i="24" s="1"/>
  <c r="M61" i="24" s="1"/>
  <c r="H59" i="24"/>
  <c r="J59" i="24" s="1"/>
  <c r="K59" i="24" s="1"/>
  <c r="E59" i="24"/>
  <c r="G59" i="24" s="1"/>
  <c r="L59" i="24" s="1"/>
  <c r="M59" i="24" s="1"/>
  <c r="J57" i="24"/>
  <c r="K57" i="24" s="1"/>
  <c r="G57" i="24"/>
  <c r="L57" i="24" s="1"/>
  <c r="M57" i="24" s="1"/>
  <c r="J55" i="24"/>
  <c r="K55" i="24" s="1"/>
  <c r="E55" i="24"/>
  <c r="G55" i="24" s="1"/>
  <c r="L55" i="24" s="1"/>
  <c r="M55" i="24" s="1"/>
  <c r="J53" i="24"/>
  <c r="G53" i="24"/>
  <c r="L53" i="24" s="1"/>
  <c r="D53" i="24"/>
  <c r="M53" i="24" s="1"/>
  <c r="H51" i="24"/>
  <c r="J51" i="24" s="1"/>
  <c r="K51" i="24" s="1"/>
  <c r="G51" i="24"/>
  <c r="L51" i="24" s="1"/>
  <c r="M51" i="24" s="1"/>
  <c r="H47" i="24"/>
  <c r="J47" i="24" s="1"/>
  <c r="K47" i="24" s="1"/>
  <c r="E47" i="24"/>
  <c r="G47" i="24" s="1"/>
  <c r="L47" i="24" s="1"/>
  <c r="M47" i="24" s="1"/>
  <c r="H45" i="24"/>
  <c r="J45" i="24" s="1"/>
  <c r="E45" i="24"/>
  <c r="G45" i="24" s="1"/>
  <c r="L45" i="24" s="1"/>
  <c r="D45" i="24"/>
  <c r="M45" i="24" s="1"/>
  <c r="H43" i="24"/>
  <c r="J43" i="24" s="1"/>
  <c r="K43" i="24" s="1"/>
  <c r="G43" i="24"/>
  <c r="L43" i="24" s="1"/>
  <c r="M43" i="24" s="1"/>
  <c r="H41" i="24"/>
  <c r="J41" i="24" s="1"/>
  <c r="G41" i="24"/>
  <c r="L41" i="24" s="1"/>
  <c r="D41" i="24"/>
  <c r="M41" i="24" s="1"/>
  <c r="H37" i="24"/>
  <c r="J37" i="24" s="1"/>
  <c r="K37" i="24" s="1"/>
  <c r="E37" i="24"/>
  <c r="G37" i="24" s="1"/>
  <c r="L37" i="24" s="1"/>
  <c r="M37" i="24" s="1"/>
  <c r="H36" i="24"/>
  <c r="J36" i="24" s="1"/>
  <c r="K36" i="24" s="1"/>
  <c r="E36" i="24"/>
  <c r="G36" i="24" s="1"/>
  <c r="L36" i="24" s="1"/>
  <c r="M36" i="24" s="1"/>
  <c r="H33" i="24"/>
  <c r="J33" i="24" s="1"/>
  <c r="K33" i="24" s="1"/>
  <c r="E33" i="24"/>
  <c r="G33" i="24" s="1"/>
  <c r="L33" i="24" s="1"/>
  <c r="M33" i="24" s="1"/>
  <c r="H32" i="24"/>
  <c r="J32" i="24" s="1"/>
  <c r="K32" i="24" s="1"/>
  <c r="E32" i="24"/>
  <c r="G32" i="24" s="1"/>
  <c r="L32" i="24" s="1"/>
  <c r="M32" i="24" s="1"/>
  <c r="H31" i="24"/>
  <c r="J31" i="24" s="1"/>
  <c r="E31" i="24"/>
  <c r="G31" i="24" s="1"/>
  <c r="L31" i="24" s="1"/>
  <c r="D31" i="24"/>
  <c r="M31" i="24" s="1"/>
  <c r="H30" i="24"/>
  <c r="J30" i="24" s="1"/>
  <c r="E30" i="24"/>
  <c r="G30" i="24" s="1"/>
  <c r="L30" i="24" s="1"/>
  <c r="D30" i="24"/>
  <c r="M30" i="24" s="1"/>
  <c r="H27" i="24"/>
  <c r="J27" i="24" s="1"/>
  <c r="K27" i="24" s="1"/>
  <c r="E27" i="24"/>
  <c r="G27" i="24" s="1"/>
  <c r="L27" i="24" s="1"/>
  <c r="M27" i="24" s="1"/>
  <c r="G26" i="24"/>
  <c r="D26" i="24"/>
  <c r="H23" i="24"/>
  <c r="J23" i="24" s="1"/>
  <c r="K23" i="24" s="1"/>
  <c r="E23" i="24"/>
  <c r="G23" i="24" s="1"/>
  <c r="L23" i="24" s="1"/>
  <c r="M23" i="24" s="1"/>
  <c r="H20" i="24"/>
  <c r="J20" i="24" s="1"/>
  <c r="K20" i="24" s="1"/>
  <c r="G20" i="24"/>
  <c r="L20" i="24" s="1"/>
  <c r="M20" i="24" s="1"/>
  <c r="H18" i="24"/>
  <c r="J18" i="24" s="1"/>
  <c r="K18" i="24" s="1"/>
  <c r="G18" i="24"/>
  <c r="L18" i="24" s="1"/>
  <c r="M18" i="24" s="1"/>
  <c r="H17" i="24"/>
  <c r="J17" i="24" s="1"/>
  <c r="K17" i="24" s="1"/>
  <c r="G17" i="24"/>
  <c r="L17" i="24" s="1"/>
  <c r="M17" i="24" s="1"/>
  <c r="H14" i="24"/>
  <c r="J14" i="24" s="1"/>
  <c r="K14" i="24" s="1"/>
  <c r="G14" i="24"/>
  <c r="L14" i="24" s="1"/>
  <c r="M14" i="24" s="1"/>
  <c r="J11" i="24"/>
  <c r="K11" i="24" s="1"/>
  <c r="E11" i="24"/>
  <c r="G11" i="24" s="1"/>
  <c r="L11" i="24" s="1"/>
  <c r="M11" i="24" s="1"/>
  <c r="A2" i="24"/>
  <c r="K146" i="23"/>
  <c r="E146" i="23"/>
  <c r="G146" i="23" s="1"/>
  <c r="L146" i="23" s="1"/>
  <c r="M146" i="23" s="1"/>
  <c r="K145" i="23"/>
  <c r="K144" i="23"/>
  <c r="K142" i="23"/>
  <c r="E142" i="23"/>
  <c r="G142" i="23" s="1"/>
  <c r="L142" i="23" s="1"/>
  <c r="M142" i="23" s="1"/>
  <c r="K141" i="23"/>
  <c r="E141" i="23"/>
  <c r="G141" i="23" s="1"/>
  <c r="L141" i="23" s="1"/>
  <c r="M141" i="23" s="1"/>
  <c r="K140" i="23"/>
  <c r="K138" i="23"/>
  <c r="E138" i="23"/>
  <c r="G138" i="23" s="1"/>
  <c r="L138" i="23" s="1"/>
  <c r="M138" i="23" s="1"/>
  <c r="K137" i="23"/>
  <c r="K135" i="23"/>
  <c r="G135" i="23"/>
  <c r="L135" i="23" s="1"/>
  <c r="M135" i="23" s="1"/>
  <c r="K134" i="23"/>
  <c r="K132" i="23"/>
  <c r="H131" i="23"/>
  <c r="K131" i="23" s="1"/>
  <c r="G131" i="23"/>
  <c r="L131" i="23" s="1"/>
  <c r="M131" i="23" s="1"/>
  <c r="J127" i="23"/>
  <c r="K127" i="23" s="1"/>
  <c r="E127" i="23"/>
  <c r="G127" i="23" s="1"/>
  <c r="L127" i="23" s="1"/>
  <c r="M127" i="23" s="1"/>
  <c r="H126" i="23"/>
  <c r="J126" i="23" s="1"/>
  <c r="K126" i="23" s="1"/>
  <c r="E126" i="23"/>
  <c r="G126" i="23" s="1"/>
  <c r="L126" i="23" s="1"/>
  <c r="M126" i="23" s="1"/>
  <c r="H125" i="23"/>
  <c r="J125" i="23" s="1"/>
  <c r="K125" i="23" s="1"/>
  <c r="G125" i="23"/>
  <c r="L125" i="23" s="1"/>
  <c r="M125" i="23" s="1"/>
  <c r="H124" i="23"/>
  <c r="J124" i="23" s="1"/>
  <c r="K124" i="23" s="1"/>
  <c r="G124" i="23"/>
  <c r="L124" i="23" s="1"/>
  <c r="M124" i="23" s="1"/>
  <c r="H118" i="23"/>
  <c r="J118" i="23" s="1"/>
  <c r="K118" i="23" s="1"/>
  <c r="G118" i="23"/>
  <c r="L118" i="23" s="1"/>
  <c r="M118" i="23" s="1"/>
  <c r="H114" i="23"/>
  <c r="J114" i="23" s="1"/>
  <c r="E114" i="23"/>
  <c r="G114" i="23" s="1"/>
  <c r="L114" i="23" s="1"/>
  <c r="D114" i="23"/>
  <c r="M114" i="23" s="1"/>
  <c r="H113" i="23"/>
  <c r="J113" i="23" s="1"/>
  <c r="K113" i="23" s="1"/>
  <c r="E113" i="23"/>
  <c r="G113" i="23" s="1"/>
  <c r="L113" i="23" s="1"/>
  <c r="M113" i="23" s="1"/>
  <c r="J107" i="23"/>
  <c r="K107" i="23" s="1"/>
  <c r="G107" i="23"/>
  <c r="L107" i="23" s="1"/>
  <c r="M107" i="23" s="1"/>
  <c r="J106" i="23"/>
  <c r="K106" i="23" s="1"/>
  <c r="G106" i="23"/>
  <c r="L106" i="23" s="1"/>
  <c r="M106" i="23" s="1"/>
  <c r="J105" i="23"/>
  <c r="K105" i="23" s="1"/>
  <c r="G105" i="23"/>
  <c r="L105" i="23" s="1"/>
  <c r="M105" i="23" s="1"/>
  <c r="J104" i="23"/>
  <c r="K104" i="23" s="1"/>
  <c r="G104" i="23"/>
  <c r="L104" i="23" s="1"/>
  <c r="M104" i="23" s="1"/>
  <c r="J103" i="23"/>
  <c r="K103" i="23" s="1"/>
  <c r="G103" i="23"/>
  <c r="L103" i="23" s="1"/>
  <c r="M103" i="23" s="1"/>
  <c r="J102" i="23"/>
  <c r="K102" i="23" s="1"/>
  <c r="G102" i="23"/>
  <c r="L102" i="23" s="1"/>
  <c r="M102" i="23" s="1"/>
  <c r="J101" i="23"/>
  <c r="K101" i="23" s="1"/>
  <c r="G101" i="23"/>
  <c r="L101" i="23" s="1"/>
  <c r="M101" i="23" s="1"/>
  <c r="J100" i="23"/>
  <c r="K100" i="23" s="1"/>
  <c r="G100" i="23"/>
  <c r="L100" i="23" s="1"/>
  <c r="M100" i="23" s="1"/>
  <c r="H99" i="23"/>
  <c r="J99" i="23" s="1"/>
  <c r="K99" i="23" s="1"/>
  <c r="G99" i="23"/>
  <c r="L99" i="23" s="1"/>
  <c r="M99" i="23" s="1"/>
  <c r="H98" i="23"/>
  <c r="J98" i="23" s="1"/>
  <c r="K98" i="23" s="1"/>
  <c r="E98" i="23"/>
  <c r="G98" i="23" s="1"/>
  <c r="L98" i="23" s="1"/>
  <c r="M98" i="23" s="1"/>
  <c r="H97" i="23"/>
  <c r="J97" i="23" s="1"/>
  <c r="K97" i="23" s="1"/>
  <c r="E97" i="23"/>
  <c r="G97" i="23" s="1"/>
  <c r="L97" i="23" s="1"/>
  <c r="M97" i="23" s="1"/>
  <c r="J91" i="23"/>
  <c r="K91" i="23" s="1"/>
  <c r="G91" i="23"/>
  <c r="L91" i="23" s="1"/>
  <c r="M91" i="23" s="1"/>
  <c r="J90" i="23"/>
  <c r="K90" i="23" s="1"/>
  <c r="G90" i="23"/>
  <c r="L90" i="23" s="1"/>
  <c r="M90" i="23" s="1"/>
  <c r="J89" i="23"/>
  <c r="K89" i="23" s="1"/>
  <c r="G89" i="23"/>
  <c r="L89" i="23" s="1"/>
  <c r="M89" i="23" s="1"/>
  <c r="J85" i="23"/>
  <c r="G85" i="23"/>
  <c r="L85" i="23" s="1"/>
  <c r="D85" i="23"/>
  <c r="M85" i="23" s="1"/>
  <c r="J84" i="23"/>
  <c r="K84" i="23" s="1"/>
  <c r="G84" i="23"/>
  <c r="L84" i="23" s="1"/>
  <c r="M84" i="23" s="1"/>
  <c r="J83" i="23"/>
  <c r="G83" i="23"/>
  <c r="L83" i="23" s="1"/>
  <c r="D83" i="23"/>
  <c r="M83" i="23" s="1"/>
  <c r="J79" i="23"/>
  <c r="K79" i="23" s="1"/>
  <c r="E79" i="23"/>
  <c r="G79" i="23" s="1"/>
  <c r="L79" i="23" s="1"/>
  <c r="M79" i="23" s="1"/>
  <c r="J78" i="23"/>
  <c r="G78" i="23"/>
  <c r="L78" i="23" s="1"/>
  <c r="D78" i="23"/>
  <c r="M78" i="23" s="1"/>
  <c r="J77" i="23"/>
  <c r="K77" i="23" s="1"/>
  <c r="G77" i="23"/>
  <c r="L77" i="23" s="1"/>
  <c r="M77" i="23" s="1"/>
  <c r="J76" i="23"/>
  <c r="G76" i="23"/>
  <c r="L76" i="23" s="1"/>
  <c r="D76" i="23"/>
  <c r="M76" i="23" s="1"/>
  <c r="J75" i="23"/>
  <c r="K75" i="23" s="1"/>
  <c r="G75" i="23"/>
  <c r="L75" i="23" s="1"/>
  <c r="M75" i="23" s="1"/>
  <c r="J74" i="23"/>
  <c r="K74" i="23" s="1"/>
  <c r="G74" i="23"/>
  <c r="L74" i="23" s="1"/>
  <c r="M74" i="23" s="1"/>
  <c r="J66" i="23"/>
  <c r="K66" i="23" s="1"/>
  <c r="G66" i="23"/>
  <c r="L66" i="23" s="1"/>
  <c r="M66" i="23" s="1"/>
  <c r="J64" i="23"/>
  <c r="K64" i="23" s="1"/>
  <c r="G64" i="23"/>
  <c r="L64" i="23" s="1"/>
  <c r="M64" i="23" s="1"/>
  <c r="H61" i="23"/>
  <c r="J61" i="23" s="1"/>
  <c r="K61" i="23" s="1"/>
  <c r="G61" i="23"/>
  <c r="L61" i="23" s="1"/>
  <c r="M61" i="23" s="1"/>
  <c r="H59" i="23"/>
  <c r="J59" i="23" s="1"/>
  <c r="K59" i="23" s="1"/>
  <c r="E59" i="23"/>
  <c r="G59" i="23" s="1"/>
  <c r="L59" i="23" s="1"/>
  <c r="M59" i="23" s="1"/>
  <c r="J57" i="23"/>
  <c r="K57" i="23" s="1"/>
  <c r="G57" i="23"/>
  <c r="L57" i="23" s="1"/>
  <c r="M57" i="23" s="1"/>
  <c r="J55" i="23"/>
  <c r="K55" i="23" s="1"/>
  <c r="E55" i="23"/>
  <c r="G55" i="23" s="1"/>
  <c r="L55" i="23" s="1"/>
  <c r="M55" i="23" s="1"/>
  <c r="J53" i="23"/>
  <c r="G53" i="23"/>
  <c r="L53" i="23" s="1"/>
  <c r="D53" i="23"/>
  <c r="M53" i="23" s="1"/>
  <c r="H51" i="23"/>
  <c r="J51" i="23" s="1"/>
  <c r="K51" i="23" s="1"/>
  <c r="G51" i="23"/>
  <c r="L51" i="23" s="1"/>
  <c r="M51" i="23" s="1"/>
  <c r="H47" i="23"/>
  <c r="J47" i="23" s="1"/>
  <c r="K47" i="23" s="1"/>
  <c r="E47" i="23"/>
  <c r="G47" i="23" s="1"/>
  <c r="L47" i="23" s="1"/>
  <c r="M47" i="23" s="1"/>
  <c r="H45" i="23"/>
  <c r="J45" i="23" s="1"/>
  <c r="E45" i="23"/>
  <c r="G45" i="23" s="1"/>
  <c r="L45" i="23" s="1"/>
  <c r="D45" i="23"/>
  <c r="M45" i="23" s="1"/>
  <c r="H43" i="23"/>
  <c r="J43" i="23" s="1"/>
  <c r="K43" i="23" s="1"/>
  <c r="G43" i="23"/>
  <c r="L43" i="23" s="1"/>
  <c r="M43" i="23" s="1"/>
  <c r="H41" i="23"/>
  <c r="J41" i="23" s="1"/>
  <c r="K41" i="23" s="1"/>
  <c r="G41" i="23"/>
  <c r="L41" i="23" s="1"/>
  <c r="M41" i="23" s="1"/>
  <c r="H37" i="23"/>
  <c r="J37" i="23" s="1"/>
  <c r="K37" i="23" s="1"/>
  <c r="E37" i="23"/>
  <c r="G37" i="23" s="1"/>
  <c r="L37" i="23" s="1"/>
  <c r="M37" i="23" s="1"/>
  <c r="H36" i="23"/>
  <c r="J36" i="23" s="1"/>
  <c r="K36" i="23" s="1"/>
  <c r="E36" i="23"/>
  <c r="G36" i="23" s="1"/>
  <c r="L36" i="23" s="1"/>
  <c r="M36" i="23" s="1"/>
  <c r="H33" i="23"/>
  <c r="J33" i="23" s="1"/>
  <c r="K33" i="23" s="1"/>
  <c r="E33" i="23"/>
  <c r="G33" i="23" s="1"/>
  <c r="L33" i="23" s="1"/>
  <c r="M33" i="23" s="1"/>
  <c r="H32" i="23"/>
  <c r="J32" i="23" s="1"/>
  <c r="K32" i="23" s="1"/>
  <c r="E32" i="23"/>
  <c r="G32" i="23" s="1"/>
  <c r="L32" i="23" s="1"/>
  <c r="M32" i="23" s="1"/>
  <c r="H31" i="23"/>
  <c r="J31" i="23" s="1"/>
  <c r="E31" i="23"/>
  <c r="G31" i="23" s="1"/>
  <c r="L31" i="23" s="1"/>
  <c r="D31" i="23"/>
  <c r="M31" i="23" s="1"/>
  <c r="H30" i="23"/>
  <c r="J30" i="23" s="1"/>
  <c r="K30" i="23" s="1"/>
  <c r="E30" i="23"/>
  <c r="G30" i="23" s="1"/>
  <c r="L30" i="23" s="1"/>
  <c r="M30" i="23" s="1"/>
  <c r="H27" i="23"/>
  <c r="J27" i="23" s="1"/>
  <c r="K27" i="23" s="1"/>
  <c r="E27" i="23"/>
  <c r="G27" i="23" s="1"/>
  <c r="L27" i="23" s="1"/>
  <c r="M27" i="23" s="1"/>
  <c r="H26" i="23"/>
  <c r="J26" i="23" s="1"/>
  <c r="K26" i="23" s="1"/>
  <c r="G26" i="23"/>
  <c r="L26" i="23" s="1"/>
  <c r="M26" i="23" s="1"/>
  <c r="H23" i="23"/>
  <c r="J23" i="23" s="1"/>
  <c r="K23" i="23" s="1"/>
  <c r="E23" i="23"/>
  <c r="G23" i="23" s="1"/>
  <c r="L23" i="23" s="1"/>
  <c r="M23" i="23" s="1"/>
  <c r="H20" i="23"/>
  <c r="J20" i="23" s="1"/>
  <c r="K20" i="23" s="1"/>
  <c r="E20" i="23"/>
  <c r="G20" i="23" s="1"/>
  <c r="L20" i="23" s="1"/>
  <c r="M20" i="23" s="1"/>
  <c r="H18" i="23"/>
  <c r="J18" i="23" s="1"/>
  <c r="K18" i="23" s="1"/>
  <c r="G18" i="23"/>
  <c r="L18" i="23" s="1"/>
  <c r="M18" i="23" s="1"/>
  <c r="H17" i="23"/>
  <c r="J17" i="23" s="1"/>
  <c r="K17" i="23" s="1"/>
  <c r="G17" i="23"/>
  <c r="L17" i="23" s="1"/>
  <c r="M17" i="23" s="1"/>
  <c r="H14" i="23"/>
  <c r="J14" i="23" s="1"/>
  <c r="K14" i="23" s="1"/>
  <c r="G14" i="23"/>
  <c r="L14" i="23" s="1"/>
  <c r="M14" i="23" s="1"/>
  <c r="J11" i="23"/>
  <c r="K11" i="23" s="1"/>
  <c r="E11" i="23"/>
  <c r="G11" i="23" s="1"/>
  <c r="L11" i="23" s="1"/>
  <c r="M11" i="23" s="1"/>
  <c r="M149" i="23" s="1"/>
  <c r="N149" i="23" s="1"/>
  <c r="A2" i="23"/>
  <c r="K146" i="22"/>
  <c r="E146" i="22"/>
  <c r="G146" i="22" s="1"/>
  <c r="L146" i="22" s="1"/>
  <c r="M146" i="22" s="1"/>
  <c r="K145" i="22"/>
  <c r="K144" i="22"/>
  <c r="K142" i="22"/>
  <c r="E142" i="22"/>
  <c r="G142" i="22" s="1"/>
  <c r="L142" i="22" s="1"/>
  <c r="M142" i="22" s="1"/>
  <c r="K141" i="22"/>
  <c r="E141" i="22"/>
  <c r="G141" i="22" s="1"/>
  <c r="L141" i="22" s="1"/>
  <c r="M141" i="22" s="1"/>
  <c r="K140" i="22"/>
  <c r="K138" i="22"/>
  <c r="E138" i="22"/>
  <c r="G138" i="22" s="1"/>
  <c r="L138" i="22" s="1"/>
  <c r="M138" i="22" s="1"/>
  <c r="K137" i="22"/>
  <c r="K135" i="22"/>
  <c r="G135" i="22"/>
  <c r="L135" i="22" s="1"/>
  <c r="M135" i="22" s="1"/>
  <c r="K134" i="22"/>
  <c r="K132" i="22"/>
  <c r="H131" i="22"/>
  <c r="K131" i="22" s="1"/>
  <c r="G131" i="22"/>
  <c r="L131" i="22" s="1"/>
  <c r="M131" i="22" s="1"/>
  <c r="J127" i="22"/>
  <c r="K127" i="22" s="1"/>
  <c r="E127" i="22"/>
  <c r="G127" i="22" s="1"/>
  <c r="L127" i="22" s="1"/>
  <c r="M127" i="22" s="1"/>
  <c r="H126" i="22"/>
  <c r="J126" i="22" s="1"/>
  <c r="K126" i="22" s="1"/>
  <c r="E126" i="22"/>
  <c r="G126" i="22" s="1"/>
  <c r="L126" i="22" s="1"/>
  <c r="M126" i="22" s="1"/>
  <c r="H125" i="22"/>
  <c r="J125" i="22" s="1"/>
  <c r="K125" i="22" s="1"/>
  <c r="G125" i="22"/>
  <c r="L125" i="22" s="1"/>
  <c r="M125" i="22" s="1"/>
  <c r="H124" i="22"/>
  <c r="J124" i="22" s="1"/>
  <c r="K124" i="22" s="1"/>
  <c r="G124" i="22"/>
  <c r="L124" i="22" s="1"/>
  <c r="M124" i="22" s="1"/>
  <c r="H118" i="22"/>
  <c r="J118" i="22" s="1"/>
  <c r="K118" i="22" s="1"/>
  <c r="G118" i="22"/>
  <c r="L118" i="22" s="1"/>
  <c r="M118" i="22" s="1"/>
  <c r="H114" i="22"/>
  <c r="J114" i="22" s="1"/>
  <c r="E114" i="22"/>
  <c r="G114" i="22" s="1"/>
  <c r="L114" i="22" s="1"/>
  <c r="D114" i="22"/>
  <c r="M114" i="22" s="1"/>
  <c r="H113" i="22"/>
  <c r="J113" i="22" s="1"/>
  <c r="K113" i="22" s="1"/>
  <c r="E113" i="22"/>
  <c r="G113" i="22" s="1"/>
  <c r="L113" i="22" s="1"/>
  <c r="M113" i="22" s="1"/>
  <c r="J107" i="22"/>
  <c r="K107" i="22" s="1"/>
  <c r="G107" i="22"/>
  <c r="L107" i="22" s="1"/>
  <c r="M107" i="22" s="1"/>
  <c r="J106" i="22"/>
  <c r="K106" i="22" s="1"/>
  <c r="G106" i="22"/>
  <c r="L106" i="22" s="1"/>
  <c r="M106" i="22" s="1"/>
  <c r="J105" i="22"/>
  <c r="K105" i="22" s="1"/>
  <c r="G105" i="22"/>
  <c r="L105" i="22" s="1"/>
  <c r="M105" i="22" s="1"/>
  <c r="J104" i="22"/>
  <c r="K104" i="22" s="1"/>
  <c r="G104" i="22"/>
  <c r="L104" i="22" s="1"/>
  <c r="M104" i="22" s="1"/>
  <c r="J103" i="22"/>
  <c r="K103" i="22" s="1"/>
  <c r="G103" i="22"/>
  <c r="L103" i="22" s="1"/>
  <c r="M103" i="22" s="1"/>
  <c r="J102" i="22"/>
  <c r="K102" i="22" s="1"/>
  <c r="G102" i="22"/>
  <c r="L102" i="22" s="1"/>
  <c r="M102" i="22" s="1"/>
  <c r="J101" i="22"/>
  <c r="K101" i="22" s="1"/>
  <c r="G101" i="22"/>
  <c r="L101" i="22" s="1"/>
  <c r="M101" i="22" s="1"/>
  <c r="J100" i="22"/>
  <c r="K100" i="22" s="1"/>
  <c r="G100" i="22"/>
  <c r="L100" i="22" s="1"/>
  <c r="M100" i="22" s="1"/>
  <c r="H99" i="22"/>
  <c r="J99" i="22" s="1"/>
  <c r="K99" i="22" s="1"/>
  <c r="G99" i="22"/>
  <c r="L99" i="22" s="1"/>
  <c r="M99" i="22" s="1"/>
  <c r="H98" i="22"/>
  <c r="J98" i="22" s="1"/>
  <c r="K98" i="22" s="1"/>
  <c r="E98" i="22"/>
  <c r="G98" i="22" s="1"/>
  <c r="L98" i="22" s="1"/>
  <c r="M98" i="22" s="1"/>
  <c r="H97" i="22"/>
  <c r="J97" i="22" s="1"/>
  <c r="K97" i="22" s="1"/>
  <c r="E97" i="22"/>
  <c r="G97" i="22" s="1"/>
  <c r="L97" i="22" s="1"/>
  <c r="M97" i="22" s="1"/>
  <c r="J91" i="22"/>
  <c r="K91" i="22" s="1"/>
  <c r="G91" i="22"/>
  <c r="L91" i="22" s="1"/>
  <c r="M91" i="22" s="1"/>
  <c r="J90" i="22"/>
  <c r="K90" i="22" s="1"/>
  <c r="G90" i="22"/>
  <c r="L90" i="22" s="1"/>
  <c r="M90" i="22" s="1"/>
  <c r="J89" i="22"/>
  <c r="K89" i="22" s="1"/>
  <c r="G89" i="22"/>
  <c r="L89" i="22" s="1"/>
  <c r="M89" i="22" s="1"/>
  <c r="J85" i="22"/>
  <c r="G85" i="22"/>
  <c r="L85" i="22" s="1"/>
  <c r="D85" i="22"/>
  <c r="M85" i="22" s="1"/>
  <c r="J84" i="22"/>
  <c r="K84" i="22" s="1"/>
  <c r="G84" i="22"/>
  <c r="L84" i="22" s="1"/>
  <c r="M84" i="22" s="1"/>
  <c r="J83" i="22"/>
  <c r="G83" i="22"/>
  <c r="L83" i="22" s="1"/>
  <c r="D83" i="22"/>
  <c r="M83" i="22" s="1"/>
  <c r="J79" i="22"/>
  <c r="K79" i="22" s="1"/>
  <c r="E79" i="22"/>
  <c r="G79" i="22" s="1"/>
  <c r="L79" i="22" s="1"/>
  <c r="M79" i="22" s="1"/>
  <c r="J78" i="22"/>
  <c r="G78" i="22"/>
  <c r="L78" i="22" s="1"/>
  <c r="D78" i="22"/>
  <c r="M78" i="22" s="1"/>
  <c r="J77" i="22"/>
  <c r="K77" i="22" s="1"/>
  <c r="G77" i="22"/>
  <c r="L77" i="22" s="1"/>
  <c r="M77" i="22" s="1"/>
  <c r="J76" i="22"/>
  <c r="G76" i="22"/>
  <c r="L76" i="22" s="1"/>
  <c r="D76" i="22"/>
  <c r="M76" i="22" s="1"/>
  <c r="J75" i="22"/>
  <c r="K75" i="22" s="1"/>
  <c r="G75" i="22"/>
  <c r="L75" i="22" s="1"/>
  <c r="M75" i="22" s="1"/>
  <c r="J74" i="22"/>
  <c r="K74" i="22" s="1"/>
  <c r="G74" i="22"/>
  <c r="L74" i="22" s="1"/>
  <c r="M74" i="22" s="1"/>
  <c r="J66" i="22"/>
  <c r="K66" i="22" s="1"/>
  <c r="G66" i="22"/>
  <c r="L66" i="22" s="1"/>
  <c r="M66" i="22" s="1"/>
  <c r="J64" i="22"/>
  <c r="K64" i="22" s="1"/>
  <c r="G64" i="22"/>
  <c r="L64" i="22" s="1"/>
  <c r="M64" i="22" s="1"/>
  <c r="H61" i="22"/>
  <c r="J61" i="22" s="1"/>
  <c r="K61" i="22" s="1"/>
  <c r="G61" i="22"/>
  <c r="L61" i="22" s="1"/>
  <c r="M61" i="22" s="1"/>
  <c r="H59" i="22"/>
  <c r="J59" i="22" s="1"/>
  <c r="K59" i="22" s="1"/>
  <c r="E59" i="22"/>
  <c r="G59" i="22" s="1"/>
  <c r="L59" i="22" s="1"/>
  <c r="M59" i="22" s="1"/>
  <c r="J57" i="22"/>
  <c r="K57" i="22" s="1"/>
  <c r="G57" i="22"/>
  <c r="L57" i="22" s="1"/>
  <c r="M57" i="22" s="1"/>
  <c r="J55" i="22"/>
  <c r="K55" i="22" s="1"/>
  <c r="E55" i="22"/>
  <c r="G55" i="22" s="1"/>
  <c r="L55" i="22" s="1"/>
  <c r="M55" i="22" s="1"/>
  <c r="J53" i="22"/>
  <c r="G53" i="22"/>
  <c r="L53" i="22" s="1"/>
  <c r="D53" i="22"/>
  <c r="M53" i="22" s="1"/>
  <c r="H51" i="22"/>
  <c r="J51" i="22" s="1"/>
  <c r="K51" i="22" s="1"/>
  <c r="G51" i="22"/>
  <c r="L51" i="22" s="1"/>
  <c r="M51" i="22" s="1"/>
  <c r="H47" i="22"/>
  <c r="J47" i="22" s="1"/>
  <c r="K47" i="22" s="1"/>
  <c r="E47" i="22"/>
  <c r="G47" i="22" s="1"/>
  <c r="L47" i="22" s="1"/>
  <c r="M47" i="22" s="1"/>
  <c r="H45" i="22"/>
  <c r="J45" i="22" s="1"/>
  <c r="E45" i="22"/>
  <c r="G45" i="22" s="1"/>
  <c r="L45" i="22" s="1"/>
  <c r="D45" i="22"/>
  <c r="M45" i="22" s="1"/>
  <c r="H43" i="22"/>
  <c r="J43" i="22" s="1"/>
  <c r="K43" i="22" s="1"/>
  <c r="G43" i="22"/>
  <c r="L43" i="22" s="1"/>
  <c r="M43" i="22" s="1"/>
  <c r="H41" i="22"/>
  <c r="J41" i="22" s="1"/>
  <c r="K41" i="22" s="1"/>
  <c r="G41" i="22"/>
  <c r="L41" i="22" s="1"/>
  <c r="M41" i="22" s="1"/>
  <c r="H37" i="22"/>
  <c r="J37" i="22" s="1"/>
  <c r="K37" i="22" s="1"/>
  <c r="E37" i="22"/>
  <c r="G37" i="22" s="1"/>
  <c r="L37" i="22" s="1"/>
  <c r="M37" i="22" s="1"/>
  <c r="H36" i="22"/>
  <c r="J36" i="22" s="1"/>
  <c r="K36" i="22" s="1"/>
  <c r="E36" i="22"/>
  <c r="G36" i="22" s="1"/>
  <c r="L36" i="22" s="1"/>
  <c r="M36" i="22" s="1"/>
  <c r="H33" i="22"/>
  <c r="J33" i="22" s="1"/>
  <c r="K33" i="22" s="1"/>
  <c r="E33" i="22"/>
  <c r="G33" i="22" s="1"/>
  <c r="L33" i="22" s="1"/>
  <c r="M33" i="22" s="1"/>
  <c r="H32" i="22"/>
  <c r="J32" i="22" s="1"/>
  <c r="K32" i="22" s="1"/>
  <c r="E32" i="22"/>
  <c r="G32" i="22" s="1"/>
  <c r="L32" i="22" s="1"/>
  <c r="M32" i="22" s="1"/>
  <c r="H31" i="22"/>
  <c r="J31" i="22" s="1"/>
  <c r="E31" i="22"/>
  <c r="G31" i="22" s="1"/>
  <c r="L31" i="22" s="1"/>
  <c r="D31" i="22"/>
  <c r="M31" i="22" s="1"/>
  <c r="H30" i="22"/>
  <c r="J30" i="22" s="1"/>
  <c r="K30" i="22" s="1"/>
  <c r="E30" i="22"/>
  <c r="G30" i="22" s="1"/>
  <c r="L30" i="22" s="1"/>
  <c r="M30" i="22" s="1"/>
  <c r="H27" i="22"/>
  <c r="J27" i="22" s="1"/>
  <c r="K27" i="22" s="1"/>
  <c r="E27" i="22"/>
  <c r="G27" i="22" s="1"/>
  <c r="L27" i="22" s="1"/>
  <c r="M27" i="22" s="1"/>
  <c r="G26" i="22"/>
  <c r="D26" i="22"/>
  <c r="H23" i="22"/>
  <c r="J23" i="22" s="1"/>
  <c r="E23" i="22"/>
  <c r="G23" i="22" s="1"/>
  <c r="L23" i="22" s="1"/>
  <c r="D23" i="22"/>
  <c r="M23" i="22" s="1"/>
  <c r="H20" i="22"/>
  <c r="J20" i="22" s="1"/>
  <c r="K20" i="22" s="1"/>
  <c r="G20" i="22"/>
  <c r="L20" i="22" s="1"/>
  <c r="M20" i="22" s="1"/>
  <c r="H18" i="22"/>
  <c r="J18" i="22" s="1"/>
  <c r="K18" i="22" s="1"/>
  <c r="G18" i="22"/>
  <c r="L18" i="22" s="1"/>
  <c r="M18" i="22" s="1"/>
  <c r="H17" i="22"/>
  <c r="J17" i="22" s="1"/>
  <c r="K17" i="22" s="1"/>
  <c r="G17" i="22"/>
  <c r="L17" i="22" s="1"/>
  <c r="M17" i="22" s="1"/>
  <c r="H14" i="22"/>
  <c r="J14" i="22" s="1"/>
  <c r="K14" i="22" s="1"/>
  <c r="G14" i="22"/>
  <c r="L14" i="22" s="1"/>
  <c r="M14" i="22" s="1"/>
  <c r="J11" i="22"/>
  <c r="K11" i="22" s="1"/>
  <c r="E11" i="22"/>
  <c r="G11" i="22" s="1"/>
  <c r="L11" i="22" s="1"/>
  <c r="M11" i="22" s="1"/>
  <c r="A2" i="22"/>
  <c r="K146" i="21"/>
  <c r="E146" i="21"/>
  <c r="G146" i="21" s="1"/>
  <c r="L146" i="21" s="1"/>
  <c r="M146" i="21" s="1"/>
  <c r="K145" i="21"/>
  <c r="K144" i="21"/>
  <c r="K142" i="21"/>
  <c r="E142" i="21"/>
  <c r="G142" i="21" s="1"/>
  <c r="L142" i="21" s="1"/>
  <c r="M142" i="21" s="1"/>
  <c r="K141" i="21"/>
  <c r="E141" i="21"/>
  <c r="G141" i="21" s="1"/>
  <c r="L141" i="21" s="1"/>
  <c r="M141" i="21" s="1"/>
  <c r="K140" i="21"/>
  <c r="K138" i="21"/>
  <c r="E138" i="21"/>
  <c r="G138" i="21" s="1"/>
  <c r="L138" i="21" s="1"/>
  <c r="M138" i="21" s="1"/>
  <c r="K137" i="21"/>
  <c r="K135" i="21"/>
  <c r="G135" i="21"/>
  <c r="L135" i="21" s="1"/>
  <c r="M135" i="21" s="1"/>
  <c r="K134" i="21"/>
  <c r="K132" i="21"/>
  <c r="H131" i="21"/>
  <c r="K131" i="21" s="1"/>
  <c r="G131" i="21"/>
  <c r="L131" i="21" s="1"/>
  <c r="M131" i="21" s="1"/>
  <c r="J127" i="21"/>
  <c r="K127" i="21" s="1"/>
  <c r="E127" i="21"/>
  <c r="G127" i="21" s="1"/>
  <c r="L127" i="21" s="1"/>
  <c r="M127" i="21" s="1"/>
  <c r="H126" i="21"/>
  <c r="J126" i="21" s="1"/>
  <c r="K126" i="21" s="1"/>
  <c r="E126" i="21"/>
  <c r="G126" i="21" s="1"/>
  <c r="L126" i="21" s="1"/>
  <c r="M126" i="21" s="1"/>
  <c r="H125" i="21"/>
  <c r="J125" i="21" s="1"/>
  <c r="K125" i="21" s="1"/>
  <c r="G125" i="21"/>
  <c r="L125" i="21" s="1"/>
  <c r="M125" i="21" s="1"/>
  <c r="H124" i="21"/>
  <c r="J124" i="21" s="1"/>
  <c r="K124" i="21" s="1"/>
  <c r="G124" i="21"/>
  <c r="L124" i="21" s="1"/>
  <c r="M124" i="21" s="1"/>
  <c r="H118" i="21"/>
  <c r="J118" i="21" s="1"/>
  <c r="K118" i="21" s="1"/>
  <c r="G118" i="21"/>
  <c r="L118" i="21" s="1"/>
  <c r="M118" i="21" s="1"/>
  <c r="H114" i="21"/>
  <c r="J114" i="21" s="1"/>
  <c r="E114" i="21"/>
  <c r="G114" i="21" s="1"/>
  <c r="L114" i="21" s="1"/>
  <c r="D114" i="21"/>
  <c r="M114" i="21" s="1"/>
  <c r="H113" i="21"/>
  <c r="J113" i="21" s="1"/>
  <c r="K113" i="21" s="1"/>
  <c r="E113" i="21"/>
  <c r="G113" i="21" s="1"/>
  <c r="L113" i="21" s="1"/>
  <c r="M113" i="21" s="1"/>
  <c r="J107" i="21"/>
  <c r="K107" i="21" s="1"/>
  <c r="G107" i="21"/>
  <c r="L107" i="21" s="1"/>
  <c r="M107" i="21" s="1"/>
  <c r="J106" i="21"/>
  <c r="K106" i="21" s="1"/>
  <c r="G106" i="21"/>
  <c r="L106" i="21" s="1"/>
  <c r="M106" i="21" s="1"/>
  <c r="J105" i="21"/>
  <c r="K105" i="21" s="1"/>
  <c r="G105" i="21"/>
  <c r="L105" i="21" s="1"/>
  <c r="M105" i="21" s="1"/>
  <c r="J104" i="21"/>
  <c r="K104" i="21" s="1"/>
  <c r="G104" i="21"/>
  <c r="L104" i="21" s="1"/>
  <c r="M104" i="21" s="1"/>
  <c r="J103" i="21"/>
  <c r="K103" i="21" s="1"/>
  <c r="G103" i="21"/>
  <c r="L103" i="21" s="1"/>
  <c r="M103" i="21" s="1"/>
  <c r="J102" i="21"/>
  <c r="K102" i="21" s="1"/>
  <c r="G102" i="21"/>
  <c r="L102" i="21" s="1"/>
  <c r="M102" i="21" s="1"/>
  <c r="J101" i="21"/>
  <c r="K101" i="21" s="1"/>
  <c r="G101" i="21"/>
  <c r="L101" i="21" s="1"/>
  <c r="M101" i="21" s="1"/>
  <c r="J100" i="21"/>
  <c r="K100" i="21" s="1"/>
  <c r="G100" i="21"/>
  <c r="L100" i="21" s="1"/>
  <c r="M100" i="21" s="1"/>
  <c r="H99" i="21"/>
  <c r="J99" i="21" s="1"/>
  <c r="K99" i="21" s="1"/>
  <c r="G99" i="21"/>
  <c r="L99" i="21" s="1"/>
  <c r="M99" i="21" s="1"/>
  <c r="H98" i="21"/>
  <c r="J98" i="21" s="1"/>
  <c r="K98" i="21" s="1"/>
  <c r="E98" i="21"/>
  <c r="G98" i="21" s="1"/>
  <c r="L98" i="21" s="1"/>
  <c r="M98" i="21" s="1"/>
  <c r="H97" i="21"/>
  <c r="J97" i="21" s="1"/>
  <c r="K97" i="21" s="1"/>
  <c r="E97" i="21"/>
  <c r="G97" i="21" s="1"/>
  <c r="L97" i="21" s="1"/>
  <c r="M97" i="21" s="1"/>
  <c r="J91" i="21"/>
  <c r="K91" i="21" s="1"/>
  <c r="G91" i="21"/>
  <c r="L91" i="21" s="1"/>
  <c r="M91" i="21" s="1"/>
  <c r="J90" i="21"/>
  <c r="K90" i="21" s="1"/>
  <c r="G90" i="21"/>
  <c r="L90" i="21" s="1"/>
  <c r="M90" i="21" s="1"/>
  <c r="J89" i="21"/>
  <c r="K89" i="21" s="1"/>
  <c r="G89" i="21"/>
  <c r="L89" i="21" s="1"/>
  <c r="M89" i="21" s="1"/>
  <c r="J85" i="21"/>
  <c r="G85" i="21"/>
  <c r="L85" i="21" s="1"/>
  <c r="D85" i="21"/>
  <c r="M85" i="21" s="1"/>
  <c r="J84" i="21"/>
  <c r="K84" i="21" s="1"/>
  <c r="G84" i="21"/>
  <c r="L84" i="21" s="1"/>
  <c r="M84" i="21" s="1"/>
  <c r="J83" i="21"/>
  <c r="G83" i="21"/>
  <c r="L83" i="21" s="1"/>
  <c r="D83" i="21"/>
  <c r="M83" i="21" s="1"/>
  <c r="J79" i="21"/>
  <c r="K79" i="21" s="1"/>
  <c r="E79" i="21"/>
  <c r="G79" i="21" s="1"/>
  <c r="L79" i="21" s="1"/>
  <c r="M79" i="21" s="1"/>
  <c r="J78" i="21"/>
  <c r="G78" i="21"/>
  <c r="L78" i="21" s="1"/>
  <c r="D78" i="21"/>
  <c r="M78" i="21" s="1"/>
  <c r="J77" i="21"/>
  <c r="K77" i="21" s="1"/>
  <c r="G77" i="21"/>
  <c r="L77" i="21" s="1"/>
  <c r="M77" i="21" s="1"/>
  <c r="J76" i="21"/>
  <c r="G76" i="21"/>
  <c r="L76" i="21" s="1"/>
  <c r="D76" i="21"/>
  <c r="M76" i="21" s="1"/>
  <c r="J75" i="21"/>
  <c r="K75" i="21" s="1"/>
  <c r="G75" i="21"/>
  <c r="L75" i="21" s="1"/>
  <c r="M75" i="21" s="1"/>
  <c r="J74" i="21"/>
  <c r="K74" i="21" s="1"/>
  <c r="G74" i="21"/>
  <c r="L74" i="21" s="1"/>
  <c r="M74" i="21" s="1"/>
  <c r="J66" i="21"/>
  <c r="K66" i="21" s="1"/>
  <c r="G66" i="21"/>
  <c r="L66" i="21" s="1"/>
  <c r="M66" i="21" s="1"/>
  <c r="J64" i="21"/>
  <c r="K64" i="21" s="1"/>
  <c r="G64" i="21"/>
  <c r="L64" i="21" s="1"/>
  <c r="M64" i="21" s="1"/>
  <c r="H61" i="21"/>
  <c r="J61" i="21" s="1"/>
  <c r="K61" i="21" s="1"/>
  <c r="G61" i="21"/>
  <c r="L61" i="21" s="1"/>
  <c r="M61" i="21" s="1"/>
  <c r="H59" i="21"/>
  <c r="J59" i="21" s="1"/>
  <c r="K59" i="21" s="1"/>
  <c r="E59" i="21"/>
  <c r="G59" i="21" s="1"/>
  <c r="L59" i="21" s="1"/>
  <c r="M59" i="21" s="1"/>
  <c r="J57" i="21"/>
  <c r="K57" i="21" s="1"/>
  <c r="G57" i="21"/>
  <c r="L57" i="21" s="1"/>
  <c r="M57" i="21" s="1"/>
  <c r="J55" i="21"/>
  <c r="K55" i="21" s="1"/>
  <c r="E55" i="21"/>
  <c r="G55" i="21" s="1"/>
  <c r="L55" i="21" s="1"/>
  <c r="M55" i="21" s="1"/>
  <c r="J53" i="21"/>
  <c r="G53" i="21"/>
  <c r="L53" i="21" s="1"/>
  <c r="D53" i="21"/>
  <c r="M53" i="21" s="1"/>
  <c r="H51" i="21"/>
  <c r="J51" i="21" s="1"/>
  <c r="K51" i="21" s="1"/>
  <c r="G51" i="21"/>
  <c r="L51" i="21" s="1"/>
  <c r="M51" i="21" s="1"/>
  <c r="H47" i="21"/>
  <c r="J47" i="21" s="1"/>
  <c r="K47" i="21" s="1"/>
  <c r="E47" i="21"/>
  <c r="G47" i="21" s="1"/>
  <c r="L47" i="21" s="1"/>
  <c r="M47" i="21" s="1"/>
  <c r="H45" i="21"/>
  <c r="J45" i="21" s="1"/>
  <c r="E45" i="21"/>
  <c r="G45" i="21" s="1"/>
  <c r="L45" i="21" s="1"/>
  <c r="D45" i="21"/>
  <c r="M45" i="21" s="1"/>
  <c r="H43" i="21"/>
  <c r="J43" i="21" s="1"/>
  <c r="K43" i="21" s="1"/>
  <c r="G43" i="21"/>
  <c r="L43" i="21" s="1"/>
  <c r="M43" i="21" s="1"/>
  <c r="H41" i="21"/>
  <c r="J41" i="21" s="1"/>
  <c r="K41" i="21" s="1"/>
  <c r="G41" i="21"/>
  <c r="L41" i="21" s="1"/>
  <c r="M41" i="21" s="1"/>
  <c r="H37" i="21"/>
  <c r="J37" i="21" s="1"/>
  <c r="K37" i="21" s="1"/>
  <c r="E37" i="21"/>
  <c r="G37" i="21" s="1"/>
  <c r="L37" i="21" s="1"/>
  <c r="M37" i="21" s="1"/>
  <c r="H36" i="21"/>
  <c r="J36" i="21" s="1"/>
  <c r="K36" i="21" s="1"/>
  <c r="E36" i="21"/>
  <c r="G36" i="21" s="1"/>
  <c r="L36" i="21" s="1"/>
  <c r="M36" i="21" s="1"/>
  <c r="H33" i="21"/>
  <c r="J33" i="21" s="1"/>
  <c r="K33" i="21" s="1"/>
  <c r="E33" i="21"/>
  <c r="G33" i="21" s="1"/>
  <c r="L33" i="21" s="1"/>
  <c r="M33" i="21" s="1"/>
  <c r="H32" i="21"/>
  <c r="J32" i="21" s="1"/>
  <c r="K32" i="21" s="1"/>
  <c r="E32" i="21"/>
  <c r="G32" i="21" s="1"/>
  <c r="L32" i="21" s="1"/>
  <c r="M32" i="21" s="1"/>
  <c r="H31" i="21"/>
  <c r="J31" i="21" s="1"/>
  <c r="E31" i="21"/>
  <c r="G31" i="21" s="1"/>
  <c r="L31" i="21" s="1"/>
  <c r="D31" i="21"/>
  <c r="M31" i="21" s="1"/>
  <c r="H30" i="21"/>
  <c r="J30" i="21" s="1"/>
  <c r="K30" i="21" s="1"/>
  <c r="E30" i="21"/>
  <c r="G30" i="21" s="1"/>
  <c r="L30" i="21" s="1"/>
  <c r="M30" i="21" s="1"/>
  <c r="H27" i="21"/>
  <c r="J27" i="21" s="1"/>
  <c r="K27" i="21" s="1"/>
  <c r="E27" i="21"/>
  <c r="G27" i="21" s="1"/>
  <c r="L27" i="21" s="1"/>
  <c r="M27" i="21" s="1"/>
  <c r="G26" i="21"/>
  <c r="D26" i="21"/>
  <c r="H23" i="21"/>
  <c r="J23" i="21" s="1"/>
  <c r="E23" i="21"/>
  <c r="G23" i="21" s="1"/>
  <c r="L23" i="21" s="1"/>
  <c r="D23" i="21"/>
  <c r="M23" i="21" s="1"/>
  <c r="H20" i="21"/>
  <c r="J20" i="21" s="1"/>
  <c r="K20" i="21" s="1"/>
  <c r="G20" i="21"/>
  <c r="L20" i="21" s="1"/>
  <c r="M20" i="21" s="1"/>
  <c r="H18" i="21"/>
  <c r="J18" i="21" s="1"/>
  <c r="K18" i="21" s="1"/>
  <c r="G18" i="21"/>
  <c r="L18" i="21" s="1"/>
  <c r="M18" i="21" s="1"/>
  <c r="H17" i="21"/>
  <c r="J17" i="21" s="1"/>
  <c r="K17" i="21" s="1"/>
  <c r="G17" i="21"/>
  <c r="L17" i="21" s="1"/>
  <c r="M17" i="21" s="1"/>
  <c r="H14" i="21"/>
  <c r="J14" i="21" s="1"/>
  <c r="K14" i="21" s="1"/>
  <c r="G14" i="21"/>
  <c r="L14" i="21" s="1"/>
  <c r="M14" i="21" s="1"/>
  <c r="J11" i="21"/>
  <c r="K11" i="21" s="1"/>
  <c r="E11" i="21"/>
  <c r="G11" i="21" s="1"/>
  <c r="L11" i="21" s="1"/>
  <c r="M11" i="21" s="1"/>
  <c r="A2" i="21"/>
  <c r="I19" i="20"/>
  <c r="J19" i="20" s="1"/>
  <c r="I17" i="20"/>
  <c r="J17" i="20" s="1"/>
  <c r="I67" i="19"/>
  <c r="J67" i="19" s="1"/>
  <c r="I66" i="19"/>
  <c r="J66" i="19" s="1"/>
  <c r="I65" i="19"/>
  <c r="J65" i="19" s="1"/>
  <c r="I64" i="19"/>
  <c r="J64" i="19" s="1"/>
  <c r="I61" i="19"/>
  <c r="J61" i="19" s="1"/>
  <c r="I60" i="19"/>
  <c r="J60" i="19" s="1"/>
  <c r="I59" i="19"/>
  <c r="J59" i="19" s="1"/>
  <c r="I58" i="19"/>
  <c r="J58" i="19" s="1"/>
  <c r="I57" i="19"/>
  <c r="J57" i="19" s="1"/>
  <c r="I56" i="19"/>
  <c r="J56" i="19" s="1"/>
  <c r="I52" i="19"/>
  <c r="J52" i="19" s="1"/>
  <c r="I51" i="19"/>
  <c r="J51" i="19" s="1"/>
  <c r="I48" i="19"/>
  <c r="J48" i="19" s="1"/>
  <c r="I47" i="19"/>
  <c r="J47" i="19" s="1"/>
  <c r="I46" i="19"/>
  <c r="I45" i="19"/>
  <c r="J45" i="19" s="1"/>
  <c r="I40" i="19"/>
  <c r="J40" i="19" s="1"/>
  <c r="I37" i="19"/>
  <c r="J37" i="19" s="1"/>
  <c r="I36" i="19"/>
  <c r="I35" i="19"/>
  <c r="F35" i="19"/>
  <c r="I30" i="19"/>
  <c r="J30" i="19" s="1"/>
  <c r="I29" i="19"/>
  <c r="I28" i="19"/>
  <c r="J28" i="19" s="1"/>
  <c r="I26" i="19"/>
  <c r="J26" i="19" s="1"/>
  <c r="I25" i="19"/>
  <c r="J25" i="19" s="1"/>
  <c r="I24" i="19"/>
  <c r="J24" i="19" s="1"/>
  <c r="I23" i="19"/>
  <c r="I21" i="19"/>
  <c r="I20" i="19"/>
  <c r="J20" i="19" s="1"/>
  <c r="I17" i="19"/>
  <c r="J17" i="19" s="1"/>
  <c r="I16" i="19"/>
  <c r="J16" i="19" s="1"/>
  <c r="I82" i="18"/>
  <c r="J82" i="18" s="1"/>
  <c r="I80" i="18"/>
  <c r="J80" i="18" s="1"/>
  <c r="I79" i="18"/>
  <c r="J79" i="18" s="1"/>
  <c r="I78" i="18"/>
  <c r="J78" i="18" s="1"/>
  <c r="I77" i="18"/>
  <c r="J77" i="18" s="1"/>
  <c r="I74" i="18"/>
  <c r="J74" i="18" s="1"/>
  <c r="I73" i="18"/>
  <c r="J73" i="18" s="1"/>
  <c r="I72" i="18"/>
  <c r="J72" i="18" s="1"/>
  <c r="I71" i="18"/>
  <c r="J71" i="18" s="1"/>
  <c r="I70" i="18"/>
  <c r="J70" i="18" s="1"/>
  <c r="I69" i="18"/>
  <c r="J69" i="18" s="1"/>
  <c r="I66" i="18"/>
  <c r="J66" i="18" s="1"/>
  <c r="I65" i="18"/>
  <c r="F65" i="18"/>
  <c r="I62" i="18"/>
  <c r="J62" i="18" s="1"/>
  <c r="I61" i="18"/>
  <c r="J61" i="18" s="1"/>
  <c r="I60" i="18"/>
  <c r="I59" i="18"/>
  <c r="J59" i="18" s="1"/>
  <c r="I55" i="18"/>
  <c r="F55" i="18"/>
  <c r="I51" i="18"/>
  <c r="F51" i="18"/>
  <c r="I50" i="18"/>
  <c r="I49" i="18"/>
  <c r="F49" i="18"/>
  <c r="I44" i="18"/>
  <c r="J44" i="18" s="1"/>
  <c r="I43" i="18"/>
  <c r="I42" i="18"/>
  <c r="I41" i="18"/>
  <c r="J41" i="18" s="1"/>
  <c r="I40" i="18"/>
  <c r="J40" i="18" s="1"/>
  <c r="I37" i="18"/>
  <c r="J37" i="18" s="1"/>
  <c r="I36" i="18"/>
  <c r="J36" i="18" s="1"/>
  <c r="I35" i="18"/>
  <c r="I34" i="18"/>
  <c r="I33" i="18"/>
  <c r="J33" i="18" s="1"/>
  <c r="I32" i="18"/>
  <c r="J32" i="18" s="1"/>
  <c r="I29" i="18"/>
  <c r="I28" i="18"/>
  <c r="I27" i="18"/>
  <c r="I26" i="18"/>
  <c r="J26" i="18" s="1"/>
  <c r="I25" i="18"/>
  <c r="I24" i="18"/>
  <c r="I23" i="18"/>
  <c r="I22" i="18"/>
  <c r="J22" i="18" s="1"/>
  <c r="I19" i="18"/>
  <c r="J19" i="18" s="1"/>
  <c r="I18" i="18"/>
  <c r="J18" i="18" s="1"/>
  <c r="I17" i="18"/>
  <c r="J17" i="18" s="1"/>
  <c r="I16" i="18"/>
  <c r="J16" i="18" s="1"/>
  <c r="I84" i="17"/>
  <c r="J84" i="17" s="1"/>
  <c r="I83" i="17"/>
  <c r="J83" i="17" s="1"/>
  <c r="I82" i="17"/>
  <c r="J82" i="17" s="1"/>
  <c r="I81" i="17"/>
  <c r="J81" i="17" s="1"/>
  <c r="I78" i="17"/>
  <c r="J78" i="17" s="1"/>
  <c r="I77" i="17"/>
  <c r="J77" i="17" s="1"/>
  <c r="I76" i="17"/>
  <c r="F76" i="17"/>
  <c r="I75" i="17"/>
  <c r="J75" i="17" s="1"/>
  <c r="I74" i="17"/>
  <c r="J74" i="17" s="1"/>
  <c r="I73" i="17"/>
  <c r="J73" i="17" s="1"/>
  <c r="I71" i="17"/>
  <c r="J71" i="17" s="1"/>
  <c r="I70" i="17"/>
  <c r="F70" i="17"/>
  <c r="I67" i="17"/>
  <c r="F67" i="17"/>
  <c r="I66" i="17"/>
  <c r="F66" i="17"/>
  <c r="I65" i="17"/>
  <c r="I64" i="17"/>
  <c r="F64" i="17"/>
  <c r="I60" i="17"/>
  <c r="F60" i="17"/>
  <c r="I56" i="17"/>
  <c r="F56" i="17"/>
  <c r="I55" i="17"/>
  <c r="I54" i="17"/>
  <c r="F54" i="17"/>
  <c r="I49" i="17"/>
  <c r="J49" i="17" s="1"/>
  <c r="I48" i="17"/>
  <c r="I47" i="17"/>
  <c r="I46" i="17"/>
  <c r="F46" i="17"/>
  <c r="I45" i="17"/>
  <c r="J45" i="17" s="1"/>
  <c r="I42" i="17"/>
  <c r="J42" i="17" s="1"/>
  <c r="I41" i="17"/>
  <c r="F41" i="17"/>
  <c r="I40" i="17"/>
  <c r="I39" i="17"/>
  <c r="I38" i="17"/>
  <c r="F38" i="17"/>
  <c r="I37" i="17"/>
  <c r="F37" i="17"/>
  <c r="I34" i="17"/>
  <c r="I33" i="17"/>
  <c r="I32" i="17"/>
  <c r="I31" i="17"/>
  <c r="J31" i="17" s="1"/>
  <c r="I30" i="17"/>
  <c r="I29" i="17"/>
  <c r="I28" i="17"/>
  <c r="I27" i="17"/>
  <c r="J27" i="17" s="1"/>
  <c r="I26" i="17"/>
  <c r="I25" i="17"/>
  <c r="I24" i="17"/>
  <c r="I23" i="17"/>
  <c r="J23" i="17" s="1"/>
  <c r="I20" i="17"/>
  <c r="J20" i="17" s="1"/>
  <c r="I19" i="17"/>
  <c r="J19" i="17" s="1"/>
  <c r="I18" i="17"/>
  <c r="J18" i="17" s="1"/>
  <c r="I17" i="17"/>
  <c r="J17" i="17" s="1"/>
  <c r="I16" i="17"/>
  <c r="J16" i="17" s="1"/>
  <c r="I15" i="17"/>
  <c r="J15" i="17" s="1"/>
  <c r="I79" i="16"/>
  <c r="J79" i="16" s="1"/>
  <c r="I77" i="16"/>
  <c r="J77" i="16" s="1"/>
  <c r="I76" i="16"/>
  <c r="J76" i="16" s="1"/>
  <c r="I75" i="16"/>
  <c r="J75" i="16" s="1"/>
  <c r="I74" i="16"/>
  <c r="J74" i="16" s="1"/>
  <c r="I71" i="16"/>
  <c r="J71" i="16" s="1"/>
  <c r="I70" i="16"/>
  <c r="J70" i="16" s="1"/>
  <c r="I69" i="16"/>
  <c r="J69" i="16" s="1"/>
  <c r="I68" i="16"/>
  <c r="J68" i="16" s="1"/>
  <c r="I67" i="16"/>
  <c r="J67" i="16" s="1"/>
  <c r="I66" i="16"/>
  <c r="J66" i="16" s="1"/>
  <c r="I62" i="16"/>
  <c r="J62" i="16" s="1"/>
  <c r="I61" i="16"/>
  <c r="F61" i="16"/>
  <c r="I58" i="16"/>
  <c r="J58" i="16" s="1"/>
  <c r="I57" i="16"/>
  <c r="J57" i="16" s="1"/>
  <c r="I56" i="16"/>
  <c r="I55" i="16"/>
  <c r="I54" i="16"/>
  <c r="I53" i="16"/>
  <c r="J53" i="16" s="1"/>
  <c r="I48" i="16"/>
  <c r="F48" i="16"/>
  <c r="I45" i="16"/>
  <c r="F45" i="16"/>
  <c r="I44" i="16"/>
  <c r="I43" i="16"/>
  <c r="I42" i="16"/>
  <c r="I41" i="16"/>
  <c r="J41" i="16" s="1"/>
  <c r="I36" i="16"/>
  <c r="J36" i="16" s="1"/>
  <c r="I35" i="16"/>
  <c r="I34" i="16"/>
  <c r="J34" i="16" s="1"/>
  <c r="I33" i="16"/>
  <c r="I32" i="16"/>
  <c r="J32" i="16" s="1"/>
  <c r="I29" i="16"/>
  <c r="J29" i="16" s="1"/>
  <c r="I28" i="16"/>
  <c r="J28" i="16" s="1"/>
  <c r="I27" i="16"/>
  <c r="I26" i="16"/>
  <c r="I25" i="16"/>
  <c r="I24" i="16"/>
  <c r="F24" i="16"/>
  <c r="I21" i="16"/>
  <c r="I20" i="16"/>
  <c r="I19" i="16"/>
  <c r="I18" i="16"/>
  <c r="J18" i="16" s="1"/>
  <c r="I15" i="16"/>
  <c r="J15" i="16" s="1"/>
  <c r="I14" i="16"/>
  <c r="J14" i="16" s="1"/>
  <c r="I64" i="15"/>
  <c r="J64" i="15" s="1"/>
  <c r="I63" i="15"/>
  <c r="J63" i="15" s="1"/>
  <c r="I62" i="15"/>
  <c r="J62" i="15" s="1"/>
  <c r="I61" i="15"/>
  <c r="J61" i="15" s="1"/>
  <c r="I58" i="15"/>
  <c r="J58" i="15" s="1"/>
  <c r="I57" i="15"/>
  <c r="J57" i="15" s="1"/>
  <c r="I56" i="15"/>
  <c r="J56" i="15" s="1"/>
  <c r="I55" i="15"/>
  <c r="J55" i="15" s="1"/>
  <c r="I54" i="15"/>
  <c r="J54" i="15" s="1"/>
  <c r="I53" i="15"/>
  <c r="J53" i="15" s="1"/>
  <c r="I50" i="15"/>
  <c r="J50" i="15" s="1"/>
  <c r="I49" i="15"/>
  <c r="J49" i="15" s="1"/>
  <c r="I47" i="15"/>
  <c r="J47" i="15" s="1"/>
  <c r="I46" i="15"/>
  <c r="J46" i="15" s="1"/>
  <c r="I45" i="15"/>
  <c r="I44" i="15"/>
  <c r="J44" i="15" s="1"/>
  <c r="I40" i="15"/>
  <c r="J40" i="15" s="1"/>
  <c r="I37" i="15"/>
  <c r="J37" i="15" s="1"/>
  <c r="I36" i="15"/>
  <c r="I35" i="15"/>
  <c r="J35" i="15" s="1"/>
  <c r="I30" i="15"/>
  <c r="J30" i="15" s="1"/>
  <c r="I29" i="15"/>
  <c r="I28" i="15"/>
  <c r="J28" i="15" s="1"/>
  <c r="I25" i="15"/>
  <c r="J25" i="15" s="1"/>
  <c r="I24" i="15"/>
  <c r="J24" i="15" s="1"/>
  <c r="I23" i="15"/>
  <c r="I22" i="15"/>
  <c r="J22" i="15" s="1"/>
  <c r="I19" i="15"/>
  <c r="I18" i="15"/>
  <c r="J18" i="15" s="1"/>
  <c r="I15" i="15"/>
  <c r="J15" i="15" s="1"/>
  <c r="I14" i="15"/>
  <c r="J14" i="15" s="1"/>
  <c r="I71" i="14"/>
  <c r="J71" i="14" s="1"/>
  <c r="I70" i="14"/>
  <c r="J70" i="14" s="1"/>
  <c r="I69" i="14"/>
  <c r="J69" i="14" s="1"/>
  <c r="I68" i="14"/>
  <c r="J68" i="14" s="1"/>
  <c r="I65" i="14"/>
  <c r="J65" i="14" s="1"/>
  <c r="I64" i="14"/>
  <c r="J64" i="14" s="1"/>
  <c r="I63" i="14"/>
  <c r="J63" i="14" s="1"/>
  <c r="I62" i="14"/>
  <c r="J62" i="14" s="1"/>
  <c r="I61" i="14"/>
  <c r="J61" i="14" s="1"/>
  <c r="I60" i="14"/>
  <c r="J60" i="14" s="1"/>
  <c r="I55" i="14"/>
  <c r="J55" i="14" s="1"/>
  <c r="I54" i="14"/>
  <c r="J54" i="14" s="1"/>
  <c r="I52" i="14"/>
  <c r="J52" i="14" s="1"/>
  <c r="I51" i="14"/>
  <c r="J51" i="14" s="1"/>
  <c r="I50" i="14"/>
  <c r="I49" i="14"/>
  <c r="J49" i="14" s="1"/>
  <c r="I44" i="14"/>
  <c r="J44" i="14" s="1"/>
  <c r="I40" i="14"/>
  <c r="J40" i="14" s="1"/>
  <c r="I39" i="14"/>
  <c r="I38" i="14"/>
  <c r="F38" i="14"/>
  <c r="I32" i="14"/>
  <c r="J32" i="14" s="1"/>
  <c r="I31" i="14"/>
  <c r="I30" i="14"/>
  <c r="J30" i="14" s="1"/>
  <c r="I27" i="14"/>
  <c r="J27" i="14" s="1"/>
  <c r="I26" i="14"/>
  <c r="J26" i="14" s="1"/>
  <c r="I25" i="14"/>
  <c r="J25" i="14" s="1"/>
  <c r="I24" i="14"/>
  <c r="I21" i="14"/>
  <c r="I20" i="14"/>
  <c r="J20" i="14" s="1"/>
  <c r="I17" i="14"/>
  <c r="J17" i="14" s="1"/>
  <c r="I16" i="14"/>
  <c r="J16" i="14" s="1"/>
  <c r="I75" i="13"/>
  <c r="J75" i="13" s="1"/>
  <c r="I73" i="13"/>
  <c r="J73" i="13" s="1"/>
  <c r="I72" i="13"/>
  <c r="J72" i="13" s="1"/>
  <c r="I71" i="13"/>
  <c r="J71" i="13" s="1"/>
  <c r="I70" i="13"/>
  <c r="J70" i="13" s="1"/>
  <c r="I67" i="13"/>
  <c r="J67" i="13" s="1"/>
  <c r="I66" i="13"/>
  <c r="J66" i="13" s="1"/>
  <c r="I65" i="13"/>
  <c r="J65" i="13" s="1"/>
  <c r="I64" i="13"/>
  <c r="J64" i="13" s="1"/>
  <c r="I63" i="13"/>
  <c r="J63" i="13" s="1"/>
  <c r="I62" i="13"/>
  <c r="J62" i="13" s="1"/>
  <c r="I59" i="13"/>
  <c r="J59" i="13" s="1"/>
  <c r="I58" i="13"/>
  <c r="F58" i="13"/>
  <c r="I55" i="13"/>
  <c r="F55" i="13"/>
  <c r="I54" i="13"/>
  <c r="F54" i="13"/>
  <c r="I53" i="13"/>
  <c r="I52" i="13"/>
  <c r="F52" i="13"/>
  <c r="I48" i="13"/>
  <c r="F48" i="13"/>
  <c r="I45" i="13"/>
  <c r="F45" i="13"/>
  <c r="I44" i="13"/>
  <c r="I43" i="13"/>
  <c r="F43" i="13"/>
  <c r="I37" i="13"/>
  <c r="J37" i="13" s="1"/>
  <c r="I36" i="13"/>
  <c r="I35" i="13"/>
  <c r="J35" i="13" s="1"/>
  <c r="I34" i="13"/>
  <c r="I33" i="13"/>
  <c r="J33" i="13" s="1"/>
  <c r="I30" i="13"/>
  <c r="J30" i="13" s="1"/>
  <c r="I29" i="13"/>
  <c r="J29" i="13" s="1"/>
  <c r="I28" i="13"/>
  <c r="I27" i="13"/>
  <c r="I26" i="13"/>
  <c r="I25" i="13"/>
  <c r="F25" i="13"/>
  <c r="I22" i="13"/>
  <c r="I21" i="13"/>
  <c r="I20" i="13"/>
  <c r="I19" i="13"/>
  <c r="J19" i="13" s="1"/>
  <c r="I17" i="13"/>
  <c r="J17" i="13" s="1"/>
  <c r="I16" i="13"/>
  <c r="J16" i="13" s="1"/>
  <c r="I70" i="12"/>
  <c r="J70" i="12" s="1"/>
  <c r="I68" i="12"/>
  <c r="J68" i="12" s="1"/>
  <c r="I67" i="12"/>
  <c r="J67" i="12" s="1"/>
  <c r="I66" i="12"/>
  <c r="J66" i="12" s="1"/>
  <c r="I65" i="12"/>
  <c r="J65" i="12" s="1"/>
  <c r="I62" i="12"/>
  <c r="J62" i="12" s="1"/>
  <c r="I61" i="12"/>
  <c r="J61" i="12" s="1"/>
  <c r="I60" i="12"/>
  <c r="J60" i="12" s="1"/>
  <c r="I59" i="12"/>
  <c r="J59" i="12" s="1"/>
  <c r="I58" i="12"/>
  <c r="J58" i="12" s="1"/>
  <c r="I57" i="12"/>
  <c r="J57" i="12" s="1"/>
  <c r="I54" i="12"/>
  <c r="J54" i="12" s="1"/>
  <c r="I53" i="12"/>
  <c r="J53" i="12" s="1"/>
  <c r="I51" i="12"/>
  <c r="J51" i="12" s="1"/>
  <c r="I50" i="12"/>
  <c r="J50" i="12" s="1"/>
  <c r="I49" i="12"/>
  <c r="J49" i="12" s="1"/>
  <c r="I48" i="12"/>
  <c r="I44" i="12"/>
  <c r="J44" i="12" s="1"/>
  <c r="I40" i="12"/>
  <c r="J40" i="12" s="1"/>
  <c r="I39" i="12"/>
  <c r="J39" i="12" s="1"/>
  <c r="I38" i="12"/>
  <c r="F38" i="12"/>
  <c r="I33" i="12"/>
  <c r="J33" i="12" s="1"/>
  <c r="I32" i="12"/>
  <c r="J32" i="12" s="1"/>
  <c r="I31" i="12"/>
  <c r="I30" i="12"/>
  <c r="I28" i="12"/>
  <c r="J28" i="12" s="1"/>
  <c r="I27" i="12"/>
  <c r="J27" i="12" s="1"/>
  <c r="I26" i="12"/>
  <c r="J26" i="12" s="1"/>
  <c r="I25" i="12"/>
  <c r="I24" i="12"/>
  <c r="I22" i="12"/>
  <c r="I21" i="12"/>
  <c r="I20" i="12"/>
  <c r="I19" i="12"/>
  <c r="J19" i="12" s="1"/>
  <c r="I16" i="12"/>
  <c r="J16" i="12" s="1"/>
  <c r="I15" i="12"/>
  <c r="J15" i="12" s="1"/>
  <c r="I75" i="11"/>
  <c r="J75" i="11" s="1"/>
  <c r="I73" i="11"/>
  <c r="J73" i="11" s="1"/>
  <c r="I72" i="11"/>
  <c r="J72" i="11" s="1"/>
  <c r="I71" i="11"/>
  <c r="J71" i="11" s="1"/>
  <c r="I70" i="11"/>
  <c r="J70" i="11" s="1"/>
  <c r="I68" i="11"/>
  <c r="J68" i="11" s="1"/>
  <c r="I67" i="11"/>
  <c r="J67" i="11" s="1"/>
  <c r="I66" i="11"/>
  <c r="J66" i="11" s="1"/>
  <c r="I65" i="11"/>
  <c r="J65" i="11" s="1"/>
  <c r="I64" i="11"/>
  <c r="J64" i="11" s="1"/>
  <c r="I63" i="11"/>
  <c r="J63" i="11" s="1"/>
  <c r="I60" i="11"/>
  <c r="J60" i="11" s="1"/>
  <c r="I59" i="11"/>
  <c r="J59" i="11" s="1"/>
  <c r="I56" i="11"/>
  <c r="J56" i="11" s="1"/>
  <c r="I55" i="11"/>
  <c r="J55" i="11" s="1"/>
  <c r="I54" i="11"/>
  <c r="I53" i="11"/>
  <c r="I52" i="11"/>
  <c r="J52" i="11" s="1"/>
  <c r="I46" i="11"/>
  <c r="J46" i="11" s="1"/>
  <c r="I43" i="11"/>
  <c r="J43" i="11" s="1"/>
  <c r="I42" i="11"/>
  <c r="I41" i="11"/>
  <c r="F41" i="11"/>
  <c r="I36" i="11"/>
  <c r="J36" i="11" s="1"/>
  <c r="I35" i="11"/>
  <c r="J35" i="11" s="1"/>
  <c r="I34" i="11"/>
  <c r="I33" i="11"/>
  <c r="I30" i="11"/>
  <c r="J30" i="11" s="1"/>
  <c r="I29" i="11"/>
  <c r="J29" i="11" s="1"/>
  <c r="I28" i="11"/>
  <c r="J28" i="11" s="1"/>
  <c r="I27" i="11"/>
  <c r="J27" i="11" s="1"/>
  <c r="I26" i="11"/>
  <c r="I25" i="11"/>
  <c r="I22" i="11"/>
  <c r="I21" i="11"/>
  <c r="I20" i="11"/>
  <c r="I19" i="11"/>
  <c r="J19" i="11" s="1"/>
  <c r="I16" i="11"/>
  <c r="J16" i="11" s="1"/>
  <c r="I15" i="11"/>
  <c r="J15" i="11" s="1"/>
  <c r="K148" i="10"/>
  <c r="E148" i="10"/>
  <c r="G148" i="10" s="1"/>
  <c r="L148" i="10" s="1"/>
  <c r="M148" i="10" s="1"/>
  <c r="K147" i="10"/>
  <c r="K146" i="10"/>
  <c r="K144" i="10"/>
  <c r="E144" i="10"/>
  <c r="G144" i="10" s="1"/>
  <c r="L144" i="10" s="1"/>
  <c r="M144" i="10" s="1"/>
  <c r="K143" i="10"/>
  <c r="E143" i="10"/>
  <c r="G143" i="10" s="1"/>
  <c r="L143" i="10" s="1"/>
  <c r="M143" i="10" s="1"/>
  <c r="K142" i="10"/>
  <c r="K140" i="10"/>
  <c r="E140" i="10"/>
  <c r="G140" i="10" s="1"/>
  <c r="L140" i="10" s="1"/>
  <c r="M140" i="10" s="1"/>
  <c r="K139" i="10"/>
  <c r="K137" i="10"/>
  <c r="G137" i="10"/>
  <c r="L137" i="10" s="1"/>
  <c r="M137" i="10" s="1"/>
  <c r="K136" i="10"/>
  <c r="K134" i="10"/>
  <c r="H133" i="10"/>
  <c r="K133" i="10" s="1"/>
  <c r="G133" i="10"/>
  <c r="L133" i="10" s="1"/>
  <c r="M133" i="10" s="1"/>
  <c r="J129" i="10"/>
  <c r="K129" i="10" s="1"/>
  <c r="E129" i="10"/>
  <c r="G129" i="10" s="1"/>
  <c r="L129" i="10" s="1"/>
  <c r="M129" i="10" s="1"/>
  <c r="H128" i="10"/>
  <c r="J128" i="10" s="1"/>
  <c r="K128" i="10" s="1"/>
  <c r="E128" i="10"/>
  <c r="G128" i="10" s="1"/>
  <c r="L128" i="10" s="1"/>
  <c r="M128" i="10" s="1"/>
  <c r="H127" i="10"/>
  <c r="J127" i="10" s="1"/>
  <c r="K127" i="10" s="1"/>
  <c r="G127" i="10"/>
  <c r="L127" i="10" s="1"/>
  <c r="M127" i="10" s="1"/>
  <c r="H126" i="10"/>
  <c r="J126" i="10" s="1"/>
  <c r="K126" i="10" s="1"/>
  <c r="G126" i="10"/>
  <c r="L126" i="10" s="1"/>
  <c r="M126" i="10" s="1"/>
  <c r="H120" i="10"/>
  <c r="J120" i="10" s="1"/>
  <c r="K120" i="10" s="1"/>
  <c r="G120" i="10"/>
  <c r="L120" i="10" s="1"/>
  <c r="M120" i="10" s="1"/>
  <c r="H116" i="10"/>
  <c r="J116" i="10" s="1"/>
  <c r="E116" i="10"/>
  <c r="G116" i="10" s="1"/>
  <c r="L116" i="10" s="1"/>
  <c r="D116" i="10"/>
  <c r="M116" i="10" s="1"/>
  <c r="H115" i="10"/>
  <c r="J115" i="10" s="1"/>
  <c r="K115" i="10" s="1"/>
  <c r="E115" i="10"/>
  <c r="G115" i="10" s="1"/>
  <c r="L115" i="10" s="1"/>
  <c r="M115" i="10" s="1"/>
  <c r="J109" i="10"/>
  <c r="K109" i="10" s="1"/>
  <c r="G109" i="10"/>
  <c r="L109" i="10" s="1"/>
  <c r="M109" i="10" s="1"/>
  <c r="J108" i="10"/>
  <c r="K108" i="10" s="1"/>
  <c r="G108" i="10"/>
  <c r="L108" i="10" s="1"/>
  <c r="M108" i="10" s="1"/>
  <c r="J107" i="10"/>
  <c r="K107" i="10" s="1"/>
  <c r="G107" i="10"/>
  <c r="L107" i="10" s="1"/>
  <c r="M107" i="10" s="1"/>
  <c r="J106" i="10"/>
  <c r="K106" i="10" s="1"/>
  <c r="G106" i="10"/>
  <c r="L106" i="10" s="1"/>
  <c r="M106" i="10" s="1"/>
  <c r="J105" i="10"/>
  <c r="K105" i="10" s="1"/>
  <c r="G105" i="10"/>
  <c r="L105" i="10" s="1"/>
  <c r="M105" i="10" s="1"/>
  <c r="J104" i="10"/>
  <c r="K104" i="10" s="1"/>
  <c r="G104" i="10"/>
  <c r="L104" i="10" s="1"/>
  <c r="M104" i="10" s="1"/>
  <c r="J103" i="10"/>
  <c r="K103" i="10" s="1"/>
  <c r="G103" i="10"/>
  <c r="L103" i="10" s="1"/>
  <c r="M103" i="10" s="1"/>
  <c r="J102" i="10"/>
  <c r="K102" i="10" s="1"/>
  <c r="G102" i="10"/>
  <c r="L102" i="10" s="1"/>
  <c r="M102" i="10" s="1"/>
  <c r="J101" i="10"/>
  <c r="K101" i="10" s="1"/>
  <c r="G101" i="10"/>
  <c r="L101" i="10" s="1"/>
  <c r="M101" i="10" s="1"/>
  <c r="H100" i="10"/>
  <c r="J100" i="10" s="1"/>
  <c r="K100" i="10" s="1"/>
  <c r="G100" i="10"/>
  <c r="L100" i="10" s="1"/>
  <c r="M100" i="10" s="1"/>
  <c r="H99" i="10"/>
  <c r="J99" i="10" s="1"/>
  <c r="K99" i="10" s="1"/>
  <c r="E99" i="10"/>
  <c r="G99" i="10" s="1"/>
  <c r="L99" i="10" s="1"/>
  <c r="M99" i="10" s="1"/>
  <c r="H98" i="10"/>
  <c r="J98" i="10" s="1"/>
  <c r="K98" i="10" s="1"/>
  <c r="E98" i="10"/>
  <c r="G98" i="10" s="1"/>
  <c r="L98" i="10" s="1"/>
  <c r="M98" i="10" s="1"/>
  <c r="J92" i="10"/>
  <c r="K92" i="10" s="1"/>
  <c r="G92" i="10"/>
  <c r="L92" i="10" s="1"/>
  <c r="M92" i="10" s="1"/>
  <c r="J91" i="10"/>
  <c r="K91" i="10" s="1"/>
  <c r="G91" i="10"/>
  <c r="L91" i="10" s="1"/>
  <c r="M91" i="10" s="1"/>
  <c r="J90" i="10"/>
  <c r="K90" i="10" s="1"/>
  <c r="G90" i="10"/>
  <c r="L90" i="10" s="1"/>
  <c r="M90" i="10" s="1"/>
  <c r="J89" i="10"/>
  <c r="K89" i="10" s="1"/>
  <c r="G89" i="10"/>
  <c r="L89" i="10" s="1"/>
  <c r="M89" i="10" s="1"/>
  <c r="J85" i="10"/>
  <c r="K85" i="10" s="1"/>
  <c r="G85" i="10"/>
  <c r="L85" i="10" s="1"/>
  <c r="M85" i="10" s="1"/>
  <c r="J84" i="10"/>
  <c r="K84" i="10" s="1"/>
  <c r="G84" i="10"/>
  <c r="L84" i="10" s="1"/>
  <c r="M84" i="10" s="1"/>
  <c r="J83" i="10"/>
  <c r="K83" i="10" s="1"/>
  <c r="G83" i="10"/>
  <c r="L83" i="10" s="1"/>
  <c r="M83" i="10" s="1"/>
  <c r="J79" i="10"/>
  <c r="K79" i="10" s="1"/>
  <c r="E79" i="10"/>
  <c r="G79" i="10" s="1"/>
  <c r="L79" i="10" s="1"/>
  <c r="M79" i="10" s="1"/>
  <c r="J78" i="10"/>
  <c r="K78" i="10" s="1"/>
  <c r="G78" i="10"/>
  <c r="L78" i="10" s="1"/>
  <c r="M78" i="10" s="1"/>
  <c r="J77" i="10"/>
  <c r="K77" i="10" s="1"/>
  <c r="G77" i="10"/>
  <c r="L77" i="10" s="1"/>
  <c r="M77" i="10" s="1"/>
  <c r="J76" i="10"/>
  <c r="K76" i="10" s="1"/>
  <c r="G76" i="10"/>
  <c r="L76" i="10" s="1"/>
  <c r="M76" i="10" s="1"/>
  <c r="J75" i="10"/>
  <c r="K75" i="10" s="1"/>
  <c r="G75" i="10"/>
  <c r="L75" i="10" s="1"/>
  <c r="M75" i="10" s="1"/>
  <c r="J74" i="10"/>
  <c r="K74" i="10" s="1"/>
  <c r="G74" i="10"/>
  <c r="L74" i="10" s="1"/>
  <c r="M74" i="10" s="1"/>
  <c r="J66" i="10"/>
  <c r="K66" i="10" s="1"/>
  <c r="G66" i="10"/>
  <c r="L66" i="10" s="1"/>
  <c r="M66" i="10" s="1"/>
  <c r="J64" i="10"/>
  <c r="G64" i="10"/>
  <c r="L64" i="10" s="1"/>
  <c r="D64" i="10"/>
  <c r="M64" i="10" s="1"/>
  <c r="H61" i="10"/>
  <c r="J61" i="10" s="1"/>
  <c r="K61" i="10" s="1"/>
  <c r="G61" i="10"/>
  <c r="L61" i="10" s="1"/>
  <c r="M61" i="10" s="1"/>
  <c r="H59" i="10"/>
  <c r="J59" i="10" s="1"/>
  <c r="K59" i="10" s="1"/>
  <c r="E59" i="10"/>
  <c r="G59" i="10" s="1"/>
  <c r="L59" i="10" s="1"/>
  <c r="M59" i="10" s="1"/>
  <c r="J57" i="10"/>
  <c r="K57" i="10" s="1"/>
  <c r="G57" i="10"/>
  <c r="L57" i="10" s="1"/>
  <c r="M57" i="10" s="1"/>
  <c r="J55" i="10"/>
  <c r="K55" i="10" s="1"/>
  <c r="E55" i="10"/>
  <c r="G55" i="10" s="1"/>
  <c r="L55" i="10" s="1"/>
  <c r="M55" i="10" s="1"/>
  <c r="J53" i="10"/>
  <c r="G53" i="10"/>
  <c r="L53" i="10" s="1"/>
  <c r="D53" i="10"/>
  <c r="M53" i="10" s="1"/>
  <c r="H51" i="10"/>
  <c r="J51" i="10" s="1"/>
  <c r="K51" i="10" s="1"/>
  <c r="G51" i="10"/>
  <c r="L51" i="10" s="1"/>
  <c r="M51" i="10" s="1"/>
  <c r="H47" i="10"/>
  <c r="J47" i="10" s="1"/>
  <c r="K47" i="10" s="1"/>
  <c r="E47" i="10"/>
  <c r="G47" i="10" s="1"/>
  <c r="L47" i="10" s="1"/>
  <c r="M47" i="10" s="1"/>
  <c r="H45" i="10"/>
  <c r="J45" i="10" s="1"/>
  <c r="E45" i="10"/>
  <c r="G45" i="10" s="1"/>
  <c r="L45" i="10" s="1"/>
  <c r="D45" i="10"/>
  <c r="M45" i="10" s="1"/>
  <c r="H43" i="10"/>
  <c r="J43" i="10" s="1"/>
  <c r="K43" i="10" s="1"/>
  <c r="G43" i="10"/>
  <c r="L43" i="10" s="1"/>
  <c r="M43" i="10" s="1"/>
  <c r="H41" i="10"/>
  <c r="J41" i="10" s="1"/>
  <c r="K41" i="10" s="1"/>
  <c r="G41" i="10"/>
  <c r="L41" i="10" s="1"/>
  <c r="M41" i="10" s="1"/>
  <c r="H37" i="10"/>
  <c r="J37" i="10" s="1"/>
  <c r="K37" i="10" s="1"/>
  <c r="E37" i="10"/>
  <c r="G37" i="10" s="1"/>
  <c r="L37" i="10" s="1"/>
  <c r="M37" i="10" s="1"/>
  <c r="H36" i="10"/>
  <c r="J36" i="10" s="1"/>
  <c r="K36" i="10" s="1"/>
  <c r="E36" i="10"/>
  <c r="G36" i="10" s="1"/>
  <c r="L36" i="10" s="1"/>
  <c r="M36" i="10" s="1"/>
  <c r="H33" i="10"/>
  <c r="J33" i="10" s="1"/>
  <c r="K33" i="10" s="1"/>
  <c r="E33" i="10"/>
  <c r="G33" i="10" s="1"/>
  <c r="L33" i="10" s="1"/>
  <c r="M33" i="10" s="1"/>
  <c r="H32" i="10"/>
  <c r="J32" i="10" s="1"/>
  <c r="E32" i="10"/>
  <c r="G32" i="10" s="1"/>
  <c r="L32" i="10" s="1"/>
  <c r="D32" i="10"/>
  <c r="M32" i="10" s="1"/>
  <c r="H31" i="10"/>
  <c r="J31" i="10" s="1"/>
  <c r="K31" i="10" s="1"/>
  <c r="E31" i="10"/>
  <c r="G31" i="10" s="1"/>
  <c r="L31" i="10" s="1"/>
  <c r="M31" i="10" s="1"/>
  <c r="H30" i="10"/>
  <c r="J30" i="10" s="1"/>
  <c r="K30" i="10" s="1"/>
  <c r="E30" i="10"/>
  <c r="G30" i="10" s="1"/>
  <c r="L30" i="10" s="1"/>
  <c r="M30" i="10" s="1"/>
  <c r="H27" i="10"/>
  <c r="J27" i="10" s="1"/>
  <c r="K27" i="10" s="1"/>
  <c r="E27" i="10"/>
  <c r="G27" i="10" s="1"/>
  <c r="L27" i="10" s="1"/>
  <c r="M27" i="10" s="1"/>
  <c r="H26" i="10"/>
  <c r="J26" i="10" s="1"/>
  <c r="K26" i="10" s="1"/>
  <c r="G26" i="10"/>
  <c r="L26" i="10" s="1"/>
  <c r="M26" i="10" s="1"/>
  <c r="H23" i="10"/>
  <c r="J23" i="10" s="1"/>
  <c r="K23" i="10" s="1"/>
  <c r="E23" i="10"/>
  <c r="G23" i="10" s="1"/>
  <c r="L23" i="10" s="1"/>
  <c r="M23" i="10" s="1"/>
  <c r="H20" i="10"/>
  <c r="J20" i="10" s="1"/>
  <c r="K20" i="10" s="1"/>
  <c r="E20" i="10"/>
  <c r="G20" i="10" s="1"/>
  <c r="L20" i="10" s="1"/>
  <c r="M20" i="10" s="1"/>
  <c r="H18" i="10"/>
  <c r="J18" i="10" s="1"/>
  <c r="K18" i="10" s="1"/>
  <c r="G18" i="10"/>
  <c r="L18" i="10" s="1"/>
  <c r="M18" i="10" s="1"/>
  <c r="H17" i="10"/>
  <c r="J17" i="10" s="1"/>
  <c r="K17" i="10" s="1"/>
  <c r="G17" i="10"/>
  <c r="L17" i="10" s="1"/>
  <c r="M17" i="10" s="1"/>
  <c r="H14" i="10"/>
  <c r="J14" i="10" s="1"/>
  <c r="K14" i="10" s="1"/>
  <c r="G14" i="10"/>
  <c r="L14" i="10" s="1"/>
  <c r="M14" i="10" s="1"/>
  <c r="J11" i="10"/>
  <c r="K11" i="10" s="1"/>
  <c r="E11" i="10"/>
  <c r="G11" i="10" s="1"/>
  <c r="L11" i="10" s="1"/>
  <c r="M11" i="10" s="1"/>
  <c r="M151" i="10" s="1"/>
  <c r="N151" i="10" s="1"/>
  <c r="A2" i="10"/>
  <c r="K148" i="9"/>
  <c r="E148" i="9"/>
  <c r="G148" i="9" s="1"/>
  <c r="L148" i="9" s="1"/>
  <c r="M148" i="9" s="1"/>
  <c r="K147" i="9"/>
  <c r="K146" i="9"/>
  <c r="K144" i="9"/>
  <c r="E144" i="9"/>
  <c r="G144" i="9" s="1"/>
  <c r="L144" i="9" s="1"/>
  <c r="M144" i="9" s="1"/>
  <c r="K143" i="9"/>
  <c r="E143" i="9"/>
  <c r="G143" i="9" s="1"/>
  <c r="L143" i="9" s="1"/>
  <c r="M143" i="9" s="1"/>
  <c r="K142" i="9"/>
  <c r="K140" i="9"/>
  <c r="E140" i="9"/>
  <c r="G140" i="9" s="1"/>
  <c r="L140" i="9" s="1"/>
  <c r="M140" i="9" s="1"/>
  <c r="K139" i="9"/>
  <c r="K137" i="9"/>
  <c r="G137" i="9"/>
  <c r="L137" i="9" s="1"/>
  <c r="M137" i="9" s="1"/>
  <c r="K136" i="9"/>
  <c r="K134" i="9"/>
  <c r="H133" i="9"/>
  <c r="K133" i="9" s="1"/>
  <c r="G133" i="9"/>
  <c r="L133" i="9" s="1"/>
  <c r="M133" i="9" s="1"/>
  <c r="J129" i="9"/>
  <c r="K129" i="9" s="1"/>
  <c r="E129" i="9"/>
  <c r="G129" i="9" s="1"/>
  <c r="L129" i="9" s="1"/>
  <c r="M129" i="9" s="1"/>
  <c r="H128" i="9"/>
  <c r="J128" i="9" s="1"/>
  <c r="K128" i="9" s="1"/>
  <c r="E128" i="9"/>
  <c r="G128" i="9" s="1"/>
  <c r="L128" i="9" s="1"/>
  <c r="M128" i="9" s="1"/>
  <c r="H127" i="9"/>
  <c r="J127" i="9" s="1"/>
  <c r="K127" i="9" s="1"/>
  <c r="G127" i="9"/>
  <c r="L127" i="9" s="1"/>
  <c r="M127" i="9" s="1"/>
  <c r="H126" i="9"/>
  <c r="J126" i="9" s="1"/>
  <c r="K126" i="9" s="1"/>
  <c r="G126" i="9"/>
  <c r="L126" i="9" s="1"/>
  <c r="M126" i="9" s="1"/>
  <c r="H120" i="9"/>
  <c r="J120" i="9" s="1"/>
  <c r="K120" i="9" s="1"/>
  <c r="G120" i="9"/>
  <c r="L120" i="9" s="1"/>
  <c r="M120" i="9" s="1"/>
  <c r="H116" i="9"/>
  <c r="J116" i="9" s="1"/>
  <c r="E116" i="9"/>
  <c r="G116" i="9" s="1"/>
  <c r="L116" i="9" s="1"/>
  <c r="D116" i="9"/>
  <c r="M116" i="9" s="1"/>
  <c r="H115" i="9"/>
  <c r="J115" i="9" s="1"/>
  <c r="K115" i="9" s="1"/>
  <c r="E115" i="9"/>
  <c r="G115" i="9" s="1"/>
  <c r="L115" i="9" s="1"/>
  <c r="M115" i="9" s="1"/>
  <c r="J109" i="9"/>
  <c r="K109" i="9" s="1"/>
  <c r="G109" i="9"/>
  <c r="L109" i="9" s="1"/>
  <c r="M109" i="9" s="1"/>
  <c r="J108" i="9"/>
  <c r="K108" i="9" s="1"/>
  <c r="G108" i="9"/>
  <c r="L108" i="9" s="1"/>
  <c r="M108" i="9" s="1"/>
  <c r="J107" i="9"/>
  <c r="K107" i="9" s="1"/>
  <c r="G107" i="9"/>
  <c r="L107" i="9" s="1"/>
  <c r="M107" i="9" s="1"/>
  <c r="J106" i="9"/>
  <c r="K106" i="9" s="1"/>
  <c r="G106" i="9"/>
  <c r="L106" i="9" s="1"/>
  <c r="M106" i="9" s="1"/>
  <c r="J105" i="9"/>
  <c r="K105" i="9" s="1"/>
  <c r="G105" i="9"/>
  <c r="L105" i="9" s="1"/>
  <c r="M105" i="9" s="1"/>
  <c r="J104" i="9"/>
  <c r="K104" i="9" s="1"/>
  <c r="G104" i="9"/>
  <c r="L104" i="9" s="1"/>
  <c r="M104" i="9" s="1"/>
  <c r="J103" i="9"/>
  <c r="K103" i="9" s="1"/>
  <c r="G103" i="9"/>
  <c r="L103" i="9" s="1"/>
  <c r="M103" i="9" s="1"/>
  <c r="J102" i="9"/>
  <c r="K102" i="9" s="1"/>
  <c r="G102" i="9"/>
  <c r="L102" i="9" s="1"/>
  <c r="M102" i="9" s="1"/>
  <c r="J101" i="9"/>
  <c r="K101" i="9" s="1"/>
  <c r="G101" i="9"/>
  <c r="L101" i="9" s="1"/>
  <c r="M101" i="9" s="1"/>
  <c r="H100" i="9"/>
  <c r="J100" i="9" s="1"/>
  <c r="K100" i="9" s="1"/>
  <c r="G100" i="9"/>
  <c r="L100" i="9" s="1"/>
  <c r="M100" i="9" s="1"/>
  <c r="H99" i="9"/>
  <c r="J99" i="9" s="1"/>
  <c r="K99" i="9" s="1"/>
  <c r="E99" i="9"/>
  <c r="G99" i="9" s="1"/>
  <c r="L99" i="9" s="1"/>
  <c r="M99" i="9" s="1"/>
  <c r="H98" i="9"/>
  <c r="J98" i="9" s="1"/>
  <c r="K98" i="9" s="1"/>
  <c r="E98" i="9"/>
  <c r="G98" i="9" s="1"/>
  <c r="L98" i="9" s="1"/>
  <c r="M98" i="9" s="1"/>
  <c r="J92" i="9"/>
  <c r="K92" i="9" s="1"/>
  <c r="G92" i="9"/>
  <c r="L92" i="9" s="1"/>
  <c r="M92" i="9" s="1"/>
  <c r="J91" i="9"/>
  <c r="K91" i="9" s="1"/>
  <c r="G91" i="9"/>
  <c r="L91" i="9" s="1"/>
  <c r="M91" i="9" s="1"/>
  <c r="J90" i="9"/>
  <c r="K90" i="9" s="1"/>
  <c r="G90" i="9"/>
  <c r="L90" i="9" s="1"/>
  <c r="M90" i="9" s="1"/>
  <c r="J89" i="9"/>
  <c r="K89" i="9" s="1"/>
  <c r="G89" i="9"/>
  <c r="L89" i="9" s="1"/>
  <c r="M89" i="9" s="1"/>
  <c r="J85" i="9"/>
  <c r="K85" i="9" s="1"/>
  <c r="G85" i="9"/>
  <c r="L85" i="9" s="1"/>
  <c r="M85" i="9" s="1"/>
  <c r="J84" i="9"/>
  <c r="K84" i="9" s="1"/>
  <c r="G84" i="9"/>
  <c r="L84" i="9" s="1"/>
  <c r="M84" i="9" s="1"/>
  <c r="J83" i="9"/>
  <c r="K83" i="9" s="1"/>
  <c r="G83" i="9"/>
  <c r="L83" i="9" s="1"/>
  <c r="M83" i="9" s="1"/>
  <c r="J79" i="9"/>
  <c r="K79" i="9" s="1"/>
  <c r="E79" i="9"/>
  <c r="G79" i="9" s="1"/>
  <c r="L79" i="9" s="1"/>
  <c r="M79" i="9" s="1"/>
  <c r="J78" i="9"/>
  <c r="K78" i="9" s="1"/>
  <c r="G78" i="9"/>
  <c r="L78" i="9" s="1"/>
  <c r="M78" i="9" s="1"/>
  <c r="J77" i="9"/>
  <c r="K77" i="9" s="1"/>
  <c r="G77" i="9"/>
  <c r="L77" i="9" s="1"/>
  <c r="M77" i="9" s="1"/>
  <c r="J76" i="9"/>
  <c r="K76" i="9" s="1"/>
  <c r="G76" i="9"/>
  <c r="L76" i="9" s="1"/>
  <c r="M76" i="9" s="1"/>
  <c r="J75" i="9"/>
  <c r="K75" i="9" s="1"/>
  <c r="G75" i="9"/>
  <c r="L75" i="9" s="1"/>
  <c r="M75" i="9" s="1"/>
  <c r="J74" i="9"/>
  <c r="K74" i="9" s="1"/>
  <c r="G74" i="9"/>
  <c r="L74" i="9" s="1"/>
  <c r="M74" i="9" s="1"/>
  <c r="J66" i="9"/>
  <c r="K66" i="9" s="1"/>
  <c r="G66" i="9"/>
  <c r="L66" i="9" s="1"/>
  <c r="M66" i="9" s="1"/>
  <c r="J64" i="9"/>
  <c r="G64" i="9"/>
  <c r="L64" i="9" s="1"/>
  <c r="D64" i="9"/>
  <c r="M64" i="9" s="1"/>
  <c r="H61" i="9"/>
  <c r="J61" i="9" s="1"/>
  <c r="K61" i="9" s="1"/>
  <c r="G61" i="9"/>
  <c r="L61" i="9" s="1"/>
  <c r="M61" i="9" s="1"/>
  <c r="H59" i="9"/>
  <c r="J59" i="9" s="1"/>
  <c r="K59" i="9" s="1"/>
  <c r="E59" i="9"/>
  <c r="G59" i="9" s="1"/>
  <c r="L59" i="9" s="1"/>
  <c r="M59" i="9" s="1"/>
  <c r="J57" i="9"/>
  <c r="K57" i="9" s="1"/>
  <c r="G57" i="9"/>
  <c r="L57" i="9" s="1"/>
  <c r="M57" i="9" s="1"/>
  <c r="J55" i="9"/>
  <c r="K55" i="9" s="1"/>
  <c r="E55" i="9"/>
  <c r="G55" i="9" s="1"/>
  <c r="L55" i="9" s="1"/>
  <c r="M55" i="9" s="1"/>
  <c r="J53" i="9"/>
  <c r="G53" i="9"/>
  <c r="L53" i="9" s="1"/>
  <c r="D53" i="9"/>
  <c r="M53" i="9" s="1"/>
  <c r="H51" i="9"/>
  <c r="J51" i="9" s="1"/>
  <c r="K51" i="9" s="1"/>
  <c r="G51" i="9"/>
  <c r="L51" i="9" s="1"/>
  <c r="M51" i="9" s="1"/>
  <c r="H47" i="9"/>
  <c r="J47" i="9" s="1"/>
  <c r="K47" i="9" s="1"/>
  <c r="E47" i="9"/>
  <c r="G47" i="9" s="1"/>
  <c r="L47" i="9" s="1"/>
  <c r="M47" i="9" s="1"/>
  <c r="H45" i="9"/>
  <c r="J45" i="9" s="1"/>
  <c r="E45" i="9"/>
  <c r="G45" i="9" s="1"/>
  <c r="L45" i="9" s="1"/>
  <c r="D45" i="9"/>
  <c r="M45" i="9" s="1"/>
  <c r="H43" i="9"/>
  <c r="J43" i="9" s="1"/>
  <c r="K43" i="9" s="1"/>
  <c r="G43" i="9"/>
  <c r="L43" i="9" s="1"/>
  <c r="M43" i="9" s="1"/>
  <c r="H41" i="9"/>
  <c r="J41" i="9" s="1"/>
  <c r="K41" i="9" s="1"/>
  <c r="G41" i="9"/>
  <c r="L41" i="9" s="1"/>
  <c r="M41" i="9" s="1"/>
  <c r="H37" i="9"/>
  <c r="J37" i="9" s="1"/>
  <c r="K37" i="9" s="1"/>
  <c r="E37" i="9"/>
  <c r="G37" i="9" s="1"/>
  <c r="L37" i="9" s="1"/>
  <c r="M37" i="9" s="1"/>
  <c r="H36" i="9"/>
  <c r="J36" i="9" s="1"/>
  <c r="K36" i="9" s="1"/>
  <c r="E36" i="9"/>
  <c r="G36" i="9" s="1"/>
  <c r="L36" i="9" s="1"/>
  <c r="M36" i="9" s="1"/>
  <c r="H33" i="9"/>
  <c r="J33" i="9" s="1"/>
  <c r="K33" i="9" s="1"/>
  <c r="E33" i="9"/>
  <c r="G33" i="9" s="1"/>
  <c r="L33" i="9" s="1"/>
  <c r="M33" i="9" s="1"/>
  <c r="H32" i="9"/>
  <c r="J32" i="9" s="1"/>
  <c r="E32" i="9"/>
  <c r="G32" i="9" s="1"/>
  <c r="L32" i="9" s="1"/>
  <c r="D32" i="9"/>
  <c r="M32" i="9" s="1"/>
  <c r="H31" i="9"/>
  <c r="J31" i="9" s="1"/>
  <c r="K31" i="9" s="1"/>
  <c r="E31" i="9"/>
  <c r="G31" i="9" s="1"/>
  <c r="L31" i="9" s="1"/>
  <c r="M31" i="9" s="1"/>
  <c r="H30" i="9"/>
  <c r="J30" i="9" s="1"/>
  <c r="K30" i="9" s="1"/>
  <c r="E30" i="9"/>
  <c r="G30" i="9" s="1"/>
  <c r="L30" i="9" s="1"/>
  <c r="M30" i="9" s="1"/>
  <c r="H27" i="9"/>
  <c r="J27" i="9" s="1"/>
  <c r="K27" i="9" s="1"/>
  <c r="E27" i="9"/>
  <c r="G27" i="9" s="1"/>
  <c r="L27" i="9" s="1"/>
  <c r="M27" i="9" s="1"/>
  <c r="G26" i="9"/>
  <c r="D26" i="9"/>
  <c r="H23" i="9"/>
  <c r="J23" i="9" s="1"/>
  <c r="K23" i="9" s="1"/>
  <c r="E23" i="9"/>
  <c r="G23" i="9" s="1"/>
  <c r="L23" i="9" s="1"/>
  <c r="M23" i="9" s="1"/>
  <c r="H20" i="9"/>
  <c r="J20" i="9" s="1"/>
  <c r="K20" i="9" s="1"/>
  <c r="G20" i="9"/>
  <c r="L20" i="9" s="1"/>
  <c r="M20" i="9" s="1"/>
  <c r="H18" i="9"/>
  <c r="J18" i="9" s="1"/>
  <c r="K18" i="9" s="1"/>
  <c r="G18" i="9"/>
  <c r="L18" i="9" s="1"/>
  <c r="M18" i="9" s="1"/>
  <c r="H17" i="9"/>
  <c r="J17" i="9" s="1"/>
  <c r="K17" i="9" s="1"/>
  <c r="G17" i="9"/>
  <c r="L17" i="9" s="1"/>
  <c r="M17" i="9" s="1"/>
  <c r="H14" i="9"/>
  <c r="J14" i="9" s="1"/>
  <c r="K14" i="9" s="1"/>
  <c r="G14" i="9"/>
  <c r="L14" i="9" s="1"/>
  <c r="M14" i="9" s="1"/>
  <c r="J11" i="9"/>
  <c r="K11" i="9" s="1"/>
  <c r="E11" i="9"/>
  <c r="G11" i="9" s="1"/>
  <c r="L11" i="9" s="1"/>
  <c r="M11" i="9" s="1"/>
  <c r="A2" i="9"/>
  <c r="K146" i="8"/>
  <c r="E146" i="8"/>
  <c r="G146" i="8" s="1"/>
  <c r="L146" i="8" s="1"/>
  <c r="M146" i="8" s="1"/>
  <c r="K145" i="8"/>
  <c r="K144" i="8"/>
  <c r="K142" i="8"/>
  <c r="E142" i="8"/>
  <c r="G142" i="8" s="1"/>
  <c r="L142" i="8" s="1"/>
  <c r="M142" i="8" s="1"/>
  <c r="K141" i="8"/>
  <c r="E141" i="8"/>
  <c r="G141" i="8" s="1"/>
  <c r="L141" i="8" s="1"/>
  <c r="M141" i="8" s="1"/>
  <c r="K140" i="8"/>
  <c r="K138" i="8"/>
  <c r="E138" i="8"/>
  <c r="G138" i="8" s="1"/>
  <c r="L138" i="8" s="1"/>
  <c r="M138" i="8" s="1"/>
  <c r="K137" i="8"/>
  <c r="K135" i="8"/>
  <c r="G135" i="8"/>
  <c r="L135" i="8" s="1"/>
  <c r="M135" i="8" s="1"/>
  <c r="K134" i="8"/>
  <c r="K132" i="8"/>
  <c r="H131" i="8"/>
  <c r="K131" i="8" s="1"/>
  <c r="G131" i="8"/>
  <c r="L131" i="8" s="1"/>
  <c r="M131" i="8" s="1"/>
  <c r="J127" i="8"/>
  <c r="K127" i="8" s="1"/>
  <c r="E127" i="8"/>
  <c r="G127" i="8" s="1"/>
  <c r="L127" i="8" s="1"/>
  <c r="M127" i="8" s="1"/>
  <c r="H126" i="8"/>
  <c r="J126" i="8" s="1"/>
  <c r="K126" i="8" s="1"/>
  <c r="E126" i="8"/>
  <c r="G126" i="8" s="1"/>
  <c r="L126" i="8" s="1"/>
  <c r="M126" i="8" s="1"/>
  <c r="H125" i="8"/>
  <c r="J125" i="8" s="1"/>
  <c r="K125" i="8" s="1"/>
  <c r="G125" i="8"/>
  <c r="L125" i="8" s="1"/>
  <c r="M125" i="8" s="1"/>
  <c r="H124" i="8"/>
  <c r="J124" i="8" s="1"/>
  <c r="K124" i="8" s="1"/>
  <c r="G124" i="8"/>
  <c r="L124" i="8" s="1"/>
  <c r="M124" i="8" s="1"/>
  <c r="H118" i="8"/>
  <c r="J118" i="8" s="1"/>
  <c r="K118" i="8" s="1"/>
  <c r="G118" i="8"/>
  <c r="L118" i="8" s="1"/>
  <c r="M118" i="8" s="1"/>
  <c r="H114" i="8"/>
  <c r="J114" i="8" s="1"/>
  <c r="K114" i="8" s="1"/>
  <c r="E114" i="8"/>
  <c r="G114" i="8" s="1"/>
  <c r="L114" i="8" s="1"/>
  <c r="M114" i="8" s="1"/>
  <c r="H113" i="8"/>
  <c r="J113" i="8" s="1"/>
  <c r="K113" i="8" s="1"/>
  <c r="E113" i="8"/>
  <c r="G113" i="8" s="1"/>
  <c r="L113" i="8" s="1"/>
  <c r="M113" i="8" s="1"/>
  <c r="J107" i="8"/>
  <c r="K107" i="8" s="1"/>
  <c r="G107" i="8"/>
  <c r="L107" i="8" s="1"/>
  <c r="M107" i="8" s="1"/>
  <c r="J106" i="8"/>
  <c r="K106" i="8" s="1"/>
  <c r="G106" i="8"/>
  <c r="L106" i="8" s="1"/>
  <c r="M106" i="8" s="1"/>
  <c r="J105" i="8"/>
  <c r="K105" i="8" s="1"/>
  <c r="G105" i="8"/>
  <c r="L105" i="8" s="1"/>
  <c r="M105" i="8" s="1"/>
  <c r="J104" i="8"/>
  <c r="K104" i="8" s="1"/>
  <c r="G104" i="8"/>
  <c r="L104" i="8" s="1"/>
  <c r="M104" i="8" s="1"/>
  <c r="J103" i="8"/>
  <c r="K103" i="8" s="1"/>
  <c r="G103" i="8"/>
  <c r="L103" i="8" s="1"/>
  <c r="M103" i="8" s="1"/>
  <c r="J102" i="8"/>
  <c r="K102" i="8" s="1"/>
  <c r="G102" i="8"/>
  <c r="L102" i="8" s="1"/>
  <c r="M102" i="8" s="1"/>
  <c r="J101" i="8"/>
  <c r="K101" i="8" s="1"/>
  <c r="G101" i="8"/>
  <c r="L101" i="8" s="1"/>
  <c r="M101" i="8" s="1"/>
  <c r="J100" i="8"/>
  <c r="K100" i="8" s="1"/>
  <c r="G100" i="8"/>
  <c r="L100" i="8" s="1"/>
  <c r="M100" i="8" s="1"/>
  <c r="H99" i="8"/>
  <c r="J99" i="8" s="1"/>
  <c r="K99" i="8" s="1"/>
  <c r="G99" i="8"/>
  <c r="L99" i="8" s="1"/>
  <c r="M99" i="8" s="1"/>
  <c r="H98" i="8"/>
  <c r="J98" i="8" s="1"/>
  <c r="K98" i="8" s="1"/>
  <c r="E98" i="8"/>
  <c r="G98" i="8" s="1"/>
  <c r="L98" i="8" s="1"/>
  <c r="M98" i="8" s="1"/>
  <c r="H97" i="8"/>
  <c r="J97" i="8" s="1"/>
  <c r="K97" i="8" s="1"/>
  <c r="E97" i="8"/>
  <c r="G97" i="8" s="1"/>
  <c r="L97" i="8" s="1"/>
  <c r="M97" i="8" s="1"/>
  <c r="J91" i="8"/>
  <c r="K91" i="8" s="1"/>
  <c r="G91" i="8"/>
  <c r="L91" i="8" s="1"/>
  <c r="M91" i="8" s="1"/>
  <c r="J90" i="8"/>
  <c r="K90" i="8" s="1"/>
  <c r="G90" i="8"/>
  <c r="L90" i="8" s="1"/>
  <c r="M90" i="8" s="1"/>
  <c r="J89" i="8"/>
  <c r="K89" i="8" s="1"/>
  <c r="G89" i="8"/>
  <c r="L89" i="8" s="1"/>
  <c r="M89" i="8" s="1"/>
  <c r="J85" i="8"/>
  <c r="K85" i="8" s="1"/>
  <c r="G85" i="8"/>
  <c r="L85" i="8" s="1"/>
  <c r="M85" i="8" s="1"/>
  <c r="J84" i="8"/>
  <c r="K84" i="8" s="1"/>
  <c r="G84" i="8"/>
  <c r="L84" i="8" s="1"/>
  <c r="M84" i="8" s="1"/>
  <c r="J83" i="8"/>
  <c r="K83" i="8" s="1"/>
  <c r="G83" i="8"/>
  <c r="L83" i="8" s="1"/>
  <c r="M83" i="8" s="1"/>
  <c r="J79" i="8"/>
  <c r="K79" i="8" s="1"/>
  <c r="E79" i="8"/>
  <c r="G79" i="8" s="1"/>
  <c r="L79" i="8" s="1"/>
  <c r="M79" i="8" s="1"/>
  <c r="J78" i="8"/>
  <c r="K78" i="8" s="1"/>
  <c r="G78" i="8"/>
  <c r="L78" i="8" s="1"/>
  <c r="M78" i="8" s="1"/>
  <c r="J77" i="8"/>
  <c r="K77" i="8" s="1"/>
  <c r="G77" i="8"/>
  <c r="L77" i="8" s="1"/>
  <c r="M77" i="8" s="1"/>
  <c r="J76" i="8"/>
  <c r="K76" i="8" s="1"/>
  <c r="G76" i="8"/>
  <c r="L76" i="8" s="1"/>
  <c r="M76" i="8" s="1"/>
  <c r="J75" i="8"/>
  <c r="K75" i="8" s="1"/>
  <c r="G75" i="8"/>
  <c r="L75" i="8" s="1"/>
  <c r="M75" i="8" s="1"/>
  <c r="J74" i="8"/>
  <c r="K74" i="8" s="1"/>
  <c r="G74" i="8"/>
  <c r="L74" i="8" s="1"/>
  <c r="M74" i="8" s="1"/>
  <c r="J66" i="8"/>
  <c r="K66" i="8" s="1"/>
  <c r="G66" i="8"/>
  <c r="L66" i="8" s="1"/>
  <c r="M66" i="8" s="1"/>
  <c r="J64" i="8"/>
  <c r="K64" i="8" s="1"/>
  <c r="G64" i="8"/>
  <c r="L64" i="8" s="1"/>
  <c r="M64" i="8" s="1"/>
  <c r="H61" i="8"/>
  <c r="J61" i="8" s="1"/>
  <c r="K61" i="8" s="1"/>
  <c r="G61" i="8"/>
  <c r="L61" i="8" s="1"/>
  <c r="M61" i="8" s="1"/>
  <c r="H59" i="8"/>
  <c r="J59" i="8" s="1"/>
  <c r="K59" i="8" s="1"/>
  <c r="E59" i="8"/>
  <c r="G59" i="8" s="1"/>
  <c r="L59" i="8" s="1"/>
  <c r="M59" i="8" s="1"/>
  <c r="J57" i="8"/>
  <c r="K57" i="8" s="1"/>
  <c r="G57" i="8"/>
  <c r="L57" i="8" s="1"/>
  <c r="M57" i="8" s="1"/>
  <c r="J55" i="8"/>
  <c r="K55" i="8" s="1"/>
  <c r="E55" i="8"/>
  <c r="G55" i="8" s="1"/>
  <c r="L55" i="8" s="1"/>
  <c r="M55" i="8" s="1"/>
  <c r="J53" i="8"/>
  <c r="K53" i="8" s="1"/>
  <c r="G53" i="8"/>
  <c r="L53" i="8" s="1"/>
  <c r="M53" i="8" s="1"/>
  <c r="H51" i="8"/>
  <c r="J51" i="8" s="1"/>
  <c r="K51" i="8" s="1"/>
  <c r="G51" i="8"/>
  <c r="L51" i="8" s="1"/>
  <c r="M51" i="8" s="1"/>
  <c r="H47" i="8"/>
  <c r="J47" i="8" s="1"/>
  <c r="K47" i="8" s="1"/>
  <c r="E47" i="8"/>
  <c r="G47" i="8" s="1"/>
  <c r="L47" i="8" s="1"/>
  <c r="M47" i="8" s="1"/>
  <c r="H45" i="8"/>
  <c r="J45" i="8" s="1"/>
  <c r="G45" i="8"/>
  <c r="L45" i="8" s="1"/>
  <c r="D45" i="8"/>
  <c r="M45" i="8" s="1"/>
  <c r="H43" i="8"/>
  <c r="J43" i="8" s="1"/>
  <c r="K43" i="8" s="1"/>
  <c r="G43" i="8"/>
  <c r="L43" i="8" s="1"/>
  <c r="M43" i="8" s="1"/>
  <c r="H41" i="8"/>
  <c r="J41" i="8" s="1"/>
  <c r="K41" i="8" s="1"/>
  <c r="G41" i="8"/>
  <c r="L41" i="8" s="1"/>
  <c r="M41" i="8" s="1"/>
  <c r="H37" i="8"/>
  <c r="J37" i="8" s="1"/>
  <c r="K37" i="8" s="1"/>
  <c r="E37" i="8"/>
  <c r="G37" i="8" s="1"/>
  <c r="L37" i="8" s="1"/>
  <c r="M37" i="8" s="1"/>
  <c r="H36" i="8"/>
  <c r="J36" i="8" s="1"/>
  <c r="K36" i="8" s="1"/>
  <c r="E36" i="8"/>
  <c r="G36" i="8" s="1"/>
  <c r="L36" i="8" s="1"/>
  <c r="M36" i="8" s="1"/>
  <c r="H33" i="8"/>
  <c r="J33" i="8" s="1"/>
  <c r="K33" i="8" s="1"/>
  <c r="E33" i="8"/>
  <c r="G33" i="8" s="1"/>
  <c r="L33" i="8" s="1"/>
  <c r="M33" i="8" s="1"/>
  <c r="H32" i="8"/>
  <c r="J32" i="8" s="1"/>
  <c r="K32" i="8" s="1"/>
  <c r="E32" i="8"/>
  <c r="G32" i="8" s="1"/>
  <c r="L32" i="8" s="1"/>
  <c r="M32" i="8" s="1"/>
  <c r="H31" i="8"/>
  <c r="J31" i="8" s="1"/>
  <c r="K31" i="8" s="1"/>
  <c r="E31" i="8"/>
  <c r="G31" i="8" s="1"/>
  <c r="L31" i="8" s="1"/>
  <c r="M31" i="8" s="1"/>
  <c r="H30" i="8"/>
  <c r="J30" i="8" s="1"/>
  <c r="K30" i="8" s="1"/>
  <c r="E30" i="8"/>
  <c r="G30" i="8" s="1"/>
  <c r="L30" i="8" s="1"/>
  <c r="M30" i="8" s="1"/>
  <c r="H27" i="8"/>
  <c r="J27" i="8" s="1"/>
  <c r="K27" i="8" s="1"/>
  <c r="E27" i="8"/>
  <c r="G27" i="8" s="1"/>
  <c r="L27" i="8" s="1"/>
  <c r="M27" i="8" s="1"/>
  <c r="H26" i="8"/>
  <c r="J26" i="8" s="1"/>
  <c r="K26" i="8" s="1"/>
  <c r="G26" i="8"/>
  <c r="L26" i="8" s="1"/>
  <c r="M26" i="8" s="1"/>
  <c r="H23" i="8"/>
  <c r="J23" i="8" s="1"/>
  <c r="K23" i="8" s="1"/>
  <c r="E23" i="8"/>
  <c r="G23" i="8" s="1"/>
  <c r="L23" i="8" s="1"/>
  <c r="M23" i="8" s="1"/>
  <c r="H20" i="8"/>
  <c r="J20" i="8" s="1"/>
  <c r="K20" i="8" s="1"/>
  <c r="E20" i="8"/>
  <c r="G20" i="8" s="1"/>
  <c r="L20" i="8" s="1"/>
  <c r="M20" i="8" s="1"/>
  <c r="H18" i="8"/>
  <c r="J18" i="8" s="1"/>
  <c r="K18" i="8" s="1"/>
  <c r="G18" i="8"/>
  <c r="L18" i="8" s="1"/>
  <c r="M18" i="8" s="1"/>
  <c r="H17" i="8"/>
  <c r="J17" i="8" s="1"/>
  <c r="K17" i="8" s="1"/>
  <c r="G17" i="8"/>
  <c r="L17" i="8" s="1"/>
  <c r="M17" i="8" s="1"/>
  <c r="H14" i="8"/>
  <c r="J14" i="8" s="1"/>
  <c r="K14" i="8" s="1"/>
  <c r="G14" i="8"/>
  <c r="L14" i="8" s="1"/>
  <c r="M14" i="8" s="1"/>
  <c r="J11" i="8"/>
  <c r="K11" i="8" s="1"/>
  <c r="E11" i="8"/>
  <c r="G11" i="8" s="1"/>
  <c r="L11" i="8" s="1"/>
  <c r="M11" i="8" s="1"/>
  <c r="M149" i="8" s="1"/>
  <c r="N149" i="8" s="1"/>
  <c r="A2" i="8"/>
  <c r="K146" i="7"/>
  <c r="E146" i="7"/>
  <c r="G146" i="7" s="1"/>
  <c r="L146" i="7" s="1"/>
  <c r="M146" i="7" s="1"/>
  <c r="K145" i="7"/>
  <c r="K144" i="7"/>
  <c r="K142" i="7"/>
  <c r="E142" i="7"/>
  <c r="G142" i="7" s="1"/>
  <c r="L142" i="7" s="1"/>
  <c r="M142" i="7" s="1"/>
  <c r="K141" i="7"/>
  <c r="E141" i="7"/>
  <c r="G141" i="7" s="1"/>
  <c r="L141" i="7" s="1"/>
  <c r="M141" i="7" s="1"/>
  <c r="K140" i="7"/>
  <c r="K138" i="7"/>
  <c r="E138" i="7"/>
  <c r="G138" i="7" s="1"/>
  <c r="L138" i="7" s="1"/>
  <c r="M138" i="7" s="1"/>
  <c r="K137" i="7"/>
  <c r="K135" i="7"/>
  <c r="G135" i="7"/>
  <c r="L135" i="7" s="1"/>
  <c r="M135" i="7" s="1"/>
  <c r="K134" i="7"/>
  <c r="K132" i="7"/>
  <c r="H131" i="7"/>
  <c r="K131" i="7" s="1"/>
  <c r="G131" i="7"/>
  <c r="L131" i="7" s="1"/>
  <c r="M131" i="7" s="1"/>
  <c r="J127" i="7"/>
  <c r="K127" i="7" s="1"/>
  <c r="E127" i="7"/>
  <c r="G127" i="7" s="1"/>
  <c r="L127" i="7" s="1"/>
  <c r="M127" i="7" s="1"/>
  <c r="H126" i="7"/>
  <c r="J126" i="7" s="1"/>
  <c r="K126" i="7" s="1"/>
  <c r="E126" i="7"/>
  <c r="G126" i="7" s="1"/>
  <c r="L126" i="7" s="1"/>
  <c r="M126" i="7" s="1"/>
  <c r="H125" i="7"/>
  <c r="J125" i="7" s="1"/>
  <c r="K125" i="7" s="1"/>
  <c r="G125" i="7"/>
  <c r="L125" i="7" s="1"/>
  <c r="M125" i="7" s="1"/>
  <c r="H124" i="7"/>
  <c r="J124" i="7" s="1"/>
  <c r="K124" i="7" s="1"/>
  <c r="G124" i="7"/>
  <c r="L124" i="7" s="1"/>
  <c r="M124" i="7" s="1"/>
  <c r="H118" i="7"/>
  <c r="J118" i="7" s="1"/>
  <c r="K118" i="7" s="1"/>
  <c r="G118" i="7"/>
  <c r="L118" i="7" s="1"/>
  <c r="M118" i="7" s="1"/>
  <c r="H114" i="7"/>
  <c r="J114" i="7" s="1"/>
  <c r="K114" i="7" s="1"/>
  <c r="E114" i="7"/>
  <c r="G114" i="7" s="1"/>
  <c r="L114" i="7" s="1"/>
  <c r="M114" i="7" s="1"/>
  <c r="H113" i="7"/>
  <c r="J113" i="7" s="1"/>
  <c r="K113" i="7" s="1"/>
  <c r="E113" i="7"/>
  <c r="G113" i="7" s="1"/>
  <c r="L113" i="7" s="1"/>
  <c r="M113" i="7" s="1"/>
  <c r="J107" i="7"/>
  <c r="K107" i="7" s="1"/>
  <c r="G107" i="7"/>
  <c r="L107" i="7" s="1"/>
  <c r="M107" i="7" s="1"/>
  <c r="J106" i="7"/>
  <c r="K106" i="7" s="1"/>
  <c r="G106" i="7"/>
  <c r="L106" i="7" s="1"/>
  <c r="M106" i="7" s="1"/>
  <c r="J105" i="7"/>
  <c r="K105" i="7" s="1"/>
  <c r="G105" i="7"/>
  <c r="L105" i="7" s="1"/>
  <c r="M105" i="7" s="1"/>
  <c r="J104" i="7"/>
  <c r="K104" i="7" s="1"/>
  <c r="G104" i="7"/>
  <c r="L104" i="7" s="1"/>
  <c r="M104" i="7" s="1"/>
  <c r="J103" i="7"/>
  <c r="K103" i="7" s="1"/>
  <c r="G103" i="7"/>
  <c r="L103" i="7" s="1"/>
  <c r="M103" i="7" s="1"/>
  <c r="J102" i="7"/>
  <c r="K102" i="7" s="1"/>
  <c r="G102" i="7"/>
  <c r="L102" i="7" s="1"/>
  <c r="M102" i="7" s="1"/>
  <c r="J101" i="7"/>
  <c r="K101" i="7" s="1"/>
  <c r="G101" i="7"/>
  <c r="L101" i="7" s="1"/>
  <c r="M101" i="7" s="1"/>
  <c r="J100" i="7"/>
  <c r="K100" i="7" s="1"/>
  <c r="G100" i="7"/>
  <c r="L100" i="7" s="1"/>
  <c r="M100" i="7" s="1"/>
  <c r="H99" i="7"/>
  <c r="J99" i="7" s="1"/>
  <c r="K99" i="7" s="1"/>
  <c r="G99" i="7"/>
  <c r="L99" i="7" s="1"/>
  <c r="M99" i="7" s="1"/>
  <c r="H98" i="7"/>
  <c r="J98" i="7" s="1"/>
  <c r="K98" i="7" s="1"/>
  <c r="E98" i="7"/>
  <c r="G98" i="7" s="1"/>
  <c r="L98" i="7" s="1"/>
  <c r="M98" i="7" s="1"/>
  <c r="H97" i="7"/>
  <c r="J97" i="7" s="1"/>
  <c r="K97" i="7" s="1"/>
  <c r="E97" i="7"/>
  <c r="G97" i="7" s="1"/>
  <c r="L97" i="7" s="1"/>
  <c r="M97" i="7" s="1"/>
  <c r="J91" i="7"/>
  <c r="K91" i="7" s="1"/>
  <c r="G91" i="7"/>
  <c r="L91" i="7" s="1"/>
  <c r="M91" i="7" s="1"/>
  <c r="J90" i="7"/>
  <c r="K90" i="7" s="1"/>
  <c r="G90" i="7"/>
  <c r="L90" i="7" s="1"/>
  <c r="M90" i="7" s="1"/>
  <c r="J89" i="7"/>
  <c r="K89" i="7" s="1"/>
  <c r="G89" i="7"/>
  <c r="L89" i="7" s="1"/>
  <c r="M89" i="7" s="1"/>
  <c r="J85" i="7"/>
  <c r="K85" i="7" s="1"/>
  <c r="G85" i="7"/>
  <c r="L85" i="7" s="1"/>
  <c r="M85" i="7" s="1"/>
  <c r="J84" i="7"/>
  <c r="K84" i="7" s="1"/>
  <c r="G84" i="7"/>
  <c r="L84" i="7" s="1"/>
  <c r="M84" i="7" s="1"/>
  <c r="J83" i="7"/>
  <c r="K83" i="7" s="1"/>
  <c r="G83" i="7"/>
  <c r="L83" i="7" s="1"/>
  <c r="M83" i="7" s="1"/>
  <c r="J79" i="7"/>
  <c r="K79" i="7" s="1"/>
  <c r="E79" i="7"/>
  <c r="G79" i="7" s="1"/>
  <c r="L79" i="7" s="1"/>
  <c r="M79" i="7" s="1"/>
  <c r="J78" i="7"/>
  <c r="K78" i="7" s="1"/>
  <c r="G78" i="7"/>
  <c r="L78" i="7" s="1"/>
  <c r="M78" i="7" s="1"/>
  <c r="J77" i="7"/>
  <c r="K77" i="7" s="1"/>
  <c r="G77" i="7"/>
  <c r="L77" i="7" s="1"/>
  <c r="M77" i="7" s="1"/>
  <c r="J76" i="7"/>
  <c r="K76" i="7" s="1"/>
  <c r="G76" i="7"/>
  <c r="L76" i="7" s="1"/>
  <c r="M76" i="7" s="1"/>
  <c r="J75" i="7"/>
  <c r="K75" i="7" s="1"/>
  <c r="G75" i="7"/>
  <c r="L75" i="7" s="1"/>
  <c r="M75" i="7" s="1"/>
  <c r="J74" i="7"/>
  <c r="K74" i="7" s="1"/>
  <c r="G74" i="7"/>
  <c r="L74" i="7" s="1"/>
  <c r="M74" i="7" s="1"/>
  <c r="J66" i="7"/>
  <c r="K66" i="7" s="1"/>
  <c r="G66" i="7"/>
  <c r="L66" i="7" s="1"/>
  <c r="M66" i="7" s="1"/>
  <c r="J64" i="7"/>
  <c r="K64" i="7" s="1"/>
  <c r="G64" i="7"/>
  <c r="L64" i="7" s="1"/>
  <c r="M64" i="7" s="1"/>
  <c r="H61" i="7"/>
  <c r="J61" i="7" s="1"/>
  <c r="K61" i="7" s="1"/>
  <c r="G61" i="7"/>
  <c r="L61" i="7" s="1"/>
  <c r="M61" i="7" s="1"/>
  <c r="H59" i="7"/>
  <c r="J59" i="7" s="1"/>
  <c r="K59" i="7" s="1"/>
  <c r="E59" i="7"/>
  <c r="G59" i="7" s="1"/>
  <c r="L59" i="7" s="1"/>
  <c r="M59" i="7" s="1"/>
  <c r="J57" i="7"/>
  <c r="K57" i="7" s="1"/>
  <c r="G57" i="7"/>
  <c r="L57" i="7" s="1"/>
  <c r="M57" i="7" s="1"/>
  <c r="J55" i="7"/>
  <c r="K55" i="7" s="1"/>
  <c r="E55" i="7"/>
  <c r="G55" i="7" s="1"/>
  <c r="L55" i="7" s="1"/>
  <c r="M55" i="7" s="1"/>
  <c r="J53" i="7"/>
  <c r="K53" i="7" s="1"/>
  <c r="G53" i="7"/>
  <c r="L53" i="7" s="1"/>
  <c r="M53" i="7" s="1"/>
  <c r="H51" i="7"/>
  <c r="J51" i="7" s="1"/>
  <c r="K51" i="7" s="1"/>
  <c r="G51" i="7"/>
  <c r="L51" i="7" s="1"/>
  <c r="M51" i="7" s="1"/>
  <c r="H47" i="7"/>
  <c r="J47" i="7" s="1"/>
  <c r="K47" i="7" s="1"/>
  <c r="E47" i="7"/>
  <c r="G47" i="7" s="1"/>
  <c r="L47" i="7" s="1"/>
  <c r="M47" i="7" s="1"/>
  <c r="H45" i="7"/>
  <c r="J45" i="7" s="1"/>
  <c r="G45" i="7"/>
  <c r="L45" i="7" s="1"/>
  <c r="D45" i="7"/>
  <c r="M45" i="7" s="1"/>
  <c r="H43" i="7"/>
  <c r="J43" i="7" s="1"/>
  <c r="K43" i="7" s="1"/>
  <c r="G43" i="7"/>
  <c r="L43" i="7" s="1"/>
  <c r="M43" i="7" s="1"/>
  <c r="H41" i="7"/>
  <c r="J41" i="7" s="1"/>
  <c r="K41" i="7" s="1"/>
  <c r="G41" i="7"/>
  <c r="L41" i="7" s="1"/>
  <c r="M41" i="7" s="1"/>
  <c r="H37" i="7"/>
  <c r="J37" i="7" s="1"/>
  <c r="K37" i="7" s="1"/>
  <c r="E37" i="7"/>
  <c r="G37" i="7" s="1"/>
  <c r="L37" i="7" s="1"/>
  <c r="M37" i="7" s="1"/>
  <c r="H36" i="7"/>
  <c r="J36" i="7" s="1"/>
  <c r="K36" i="7" s="1"/>
  <c r="E36" i="7"/>
  <c r="G36" i="7" s="1"/>
  <c r="L36" i="7" s="1"/>
  <c r="M36" i="7" s="1"/>
  <c r="H33" i="7"/>
  <c r="J33" i="7" s="1"/>
  <c r="K33" i="7" s="1"/>
  <c r="E33" i="7"/>
  <c r="G33" i="7" s="1"/>
  <c r="L33" i="7" s="1"/>
  <c r="M33" i="7" s="1"/>
  <c r="H32" i="7"/>
  <c r="J32" i="7" s="1"/>
  <c r="K32" i="7" s="1"/>
  <c r="E32" i="7"/>
  <c r="G32" i="7" s="1"/>
  <c r="L32" i="7" s="1"/>
  <c r="M32" i="7" s="1"/>
  <c r="H31" i="7"/>
  <c r="J31" i="7" s="1"/>
  <c r="K31" i="7" s="1"/>
  <c r="E31" i="7"/>
  <c r="G31" i="7" s="1"/>
  <c r="L31" i="7" s="1"/>
  <c r="M31" i="7" s="1"/>
  <c r="H30" i="7"/>
  <c r="J30" i="7" s="1"/>
  <c r="K30" i="7" s="1"/>
  <c r="E30" i="7"/>
  <c r="G30" i="7" s="1"/>
  <c r="L30" i="7" s="1"/>
  <c r="M30" i="7" s="1"/>
  <c r="H27" i="7"/>
  <c r="J27" i="7" s="1"/>
  <c r="K27" i="7" s="1"/>
  <c r="E27" i="7"/>
  <c r="G27" i="7" s="1"/>
  <c r="L27" i="7" s="1"/>
  <c r="M27" i="7" s="1"/>
  <c r="H26" i="7"/>
  <c r="J26" i="7" s="1"/>
  <c r="K26" i="7" s="1"/>
  <c r="G26" i="7"/>
  <c r="L26" i="7" s="1"/>
  <c r="M26" i="7" s="1"/>
  <c r="H23" i="7"/>
  <c r="J23" i="7" s="1"/>
  <c r="K23" i="7" s="1"/>
  <c r="E23" i="7"/>
  <c r="G23" i="7" s="1"/>
  <c r="L23" i="7" s="1"/>
  <c r="M23" i="7" s="1"/>
  <c r="H20" i="7"/>
  <c r="J20" i="7" s="1"/>
  <c r="K20" i="7" s="1"/>
  <c r="E20" i="7"/>
  <c r="G20" i="7" s="1"/>
  <c r="L20" i="7" s="1"/>
  <c r="M20" i="7" s="1"/>
  <c r="H18" i="7"/>
  <c r="J18" i="7" s="1"/>
  <c r="K18" i="7" s="1"/>
  <c r="G18" i="7"/>
  <c r="L18" i="7" s="1"/>
  <c r="M18" i="7" s="1"/>
  <c r="H17" i="7"/>
  <c r="J17" i="7" s="1"/>
  <c r="K17" i="7" s="1"/>
  <c r="G17" i="7"/>
  <c r="L17" i="7" s="1"/>
  <c r="M17" i="7" s="1"/>
  <c r="H14" i="7"/>
  <c r="J14" i="7" s="1"/>
  <c r="K14" i="7" s="1"/>
  <c r="G14" i="7"/>
  <c r="L14" i="7" s="1"/>
  <c r="M14" i="7" s="1"/>
  <c r="J11" i="7"/>
  <c r="K11" i="7" s="1"/>
  <c r="E11" i="7"/>
  <c r="G11" i="7" s="1"/>
  <c r="L11" i="7" s="1"/>
  <c r="M11" i="7" s="1"/>
  <c r="M149" i="7" s="1"/>
  <c r="A2" i="7"/>
  <c r="K146" i="6"/>
  <c r="E146" i="6"/>
  <c r="G146" i="6" s="1"/>
  <c r="L146" i="6" s="1"/>
  <c r="M146" i="6" s="1"/>
  <c r="K145" i="6"/>
  <c r="K144" i="6"/>
  <c r="K142" i="6"/>
  <c r="E142" i="6"/>
  <c r="G142" i="6" s="1"/>
  <c r="L142" i="6" s="1"/>
  <c r="M142" i="6" s="1"/>
  <c r="K141" i="6"/>
  <c r="E141" i="6"/>
  <c r="G141" i="6" s="1"/>
  <c r="L141" i="6" s="1"/>
  <c r="M141" i="6" s="1"/>
  <c r="K140" i="6"/>
  <c r="K138" i="6"/>
  <c r="E138" i="6"/>
  <c r="G138" i="6" s="1"/>
  <c r="L138" i="6" s="1"/>
  <c r="M138" i="6" s="1"/>
  <c r="K137" i="6"/>
  <c r="K135" i="6"/>
  <c r="G135" i="6"/>
  <c r="L135" i="6" s="1"/>
  <c r="M135" i="6" s="1"/>
  <c r="K134" i="6"/>
  <c r="K132" i="6"/>
  <c r="H131" i="6"/>
  <c r="K131" i="6" s="1"/>
  <c r="G131" i="6"/>
  <c r="L131" i="6" s="1"/>
  <c r="M131" i="6" s="1"/>
  <c r="J127" i="6"/>
  <c r="K127" i="6" s="1"/>
  <c r="E127" i="6"/>
  <c r="G127" i="6" s="1"/>
  <c r="L127" i="6" s="1"/>
  <c r="M127" i="6" s="1"/>
  <c r="H126" i="6"/>
  <c r="J126" i="6" s="1"/>
  <c r="K126" i="6" s="1"/>
  <c r="E126" i="6"/>
  <c r="G126" i="6" s="1"/>
  <c r="L126" i="6" s="1"/>
  <c r="M126" i="6" s="1"/>
  <c r="H125" i="6"/>
  <c r="J125" i="6" s="1"/>
  <c r="K125" i="6" s="1"/>
  <c r="G125" i="6"/>
  <c r="L125" i="6" s="1"/>
  <c r="M125" i="6" s="1"/>
  <c r="H124" i="6"/>
  <c r="J124" i="6" s="1"/>
  <c r="K124" i="6" s="1"/>
  <c r="G124" i="6"/>
  <c r="L124" i="6" s="1"/>
  <c r="M124" i="6" s="1"/>
  <c r="H118" i="6"/>
  <c r="J118" i="6" s="1"/>
  <c r="K118" i="6" s="1"/>
  <c r="G118" i="6"/>
  <c r="L118" i="6" s="1"/>
  <c r="M118" i="6" s="1"/>
  <c r="H114" i="6"/>
  <c r="J114" i="6" s="1"/>
  <c r="K114" i="6" s="1"/>
  <c r="E114" i="6"/>
  <c r="G114" i="6" s="1"/>
  <c r="L114" i="6" s="1"/>
  <c r="M114" i="6" s="1"/>
  <c r="H113" i="6"/>
  <c r="J113" i="6" s="1"/>
  <c r="K113" i="6" s="1"/>
  <c r="E113" i="6"/>
  <c r="G113" i="6" s="1"/>
  <c r="L113" i="6" s="1"/>
  <c r="M113" i="6" s="1"/>
  <c r="J107" i="6"/>
  <c r="K107" i="6" s="1"/>
  <c r="G107" i="6"/>
  <c r="L107" i="6" s="1"/>
  <c r="M107" i="6" s="1"/>
  <c r="J106" i="6"/>
  <c r="K106" i="6" s="1"/>
  <c r="G106" i="6"/>
  <c r="L106" i="6" s="1"/>
  <c r="M106" i="6" s="1"/>
  <c r="J105" i="6"/>
  <c r="K105" i="6" s="1"/>
  <c r="G105" i="6"/>
  <c r="L105" i="6" s="1"/>
  <c r="M105" i="6" s="1"/>
  <c r="J104" i="6"/>
  <c r="K104" i="6" s="1"/>
  <c r="G104" i="6"/>
  <c r="L104" i="6" s="1"/>
  <c r="M104" i="6" s="1"/>
  <c r="J103" i="6"/>
  <c r="K103" i="6" s="1"/>
  <c r="G103" i="6"/>
  <c r="L103" i="6" s="1"/>
  <c r="M103" i="6" s="1"/>
  <c r="J102" i="6"/>
  <c r="K102" i="6" s="1"/>
  <c r="G102" i="6"/>
  <c r="L102" i="6" s="1"/>
  <c r="M102" i="6" s="1"/>
  <c r="J101" i="6"/>
  <c r="K101" i="6" s="1"/>
  <c r="G101" i="6"/>
  <c r="L101" i="6" s="1"/>
  <c r="M101" i="6" s="1"/>
  <c r="J100" i="6"/>
  <c r="K100" i="6" s="1"/>
  <c r="G100" i="6"/>
  <c r="L100" i="6" s="1"/>
  <c r="M100" i="6" s="1"/>
  <c r="H99" i="6"/>
  <c r="J99" i="6" s="1"/>
  <c r="K99" i="6" s="1"/>
  <c r="G99" i="6"/>
  <c r="L99" i="6" s="1"/>
  <c r="M99" i="6" s="1"/>
  <c r="H98" i="6"/>
  <c r="J98" i="6" s="1"/>
  <c r="K98" i="6" s="1"/>
  <c r="E98" i="6"/>
  <c r="G98" i="6" s="1"/>
  <c r="L98" i="6" s="1"/>
  <c r="M98" i="6" s="1"/>
  <c r="H97" i="6"/>
  <c r="J97" i="6" s="1"/>
  <c r="K97" i="6" s="1"/>
  <c r="E97" i="6"/>
  <c r="G97" i="6" s="1"/>
  <c r="L97" i="6" s="1"/>
  <c r="M97" i="6" s="1"/>
  <c r="J91" i="6"/>
  <c r="K91" i="6" s="1"/>
  <c r="G91" i="6"/>
  <c r="L91" i="6" s="1"/>
  <c r="M91" i="6" s="1"/>
  <c r="J90" i="6"/>
  <c r="K90" i="6" s="1"/>
  <c r="G90" i="6"/>
  <c r="L90" i="6" s="1"/>
  <c r="M90" i="6" s="1"/>
  <c r="J89" i="6"/>
  <c r="K89" i="6" s="1"/>
  <c r="G89" i="6"/>
  <c r="L89" i="6" s="1"/>
  <c r="M89" i="6" s="1"/>
  <c r="J85" i="6"/>
  <c r="K85" i="6" s="1"/>
  <c r="G85" i="6"/>
  <c r="L85" i="6" s="1"/>
  <c r="M85" i="6" s="1"/>
  <c r="J84" i="6"/>
  <c r="K84" i="6" s="1"/>
  <c r="G84" i="6"/>
  <c r="L84" i="6" s="1"/>
  <c r="M84" i="6" s="1"/>
  <c r="J83" i="6"/>
  <c r="K83" i="6" s="1"/>
  <c r="G83" i="6"/>
  <c r="L83" i="6" s="1"/>
  <c r="M83" i="6" s="1"/>
  <c r="J79" i="6"/>
  <c r="K79" i="6" s="1"/>
  <c r="E79" i="6"/>
  <c r="G79" i="6" s="1"/>
  <c r="L79" i="6" s="1"/>
  <c r="M79" i="6" s="1"/>
  <c r="J78" i="6"/>
  <c r="K78" i="6" s="1"/>
  <c r="G78" i="6"/>
  <c r="L78" i="6" s="1"/>
  <c r="M78" i="6" s="1"/>
  <c r="J77" i="6"/>
  <c r="K77" i="6" s="1"/>
  <c r="G77" i="6"/>
  <c r="L77" i="6" s="1"/>
  <c r="M77" i="6" s="1"/>
  <c r="J76" i="6"/>
  <c r="K76" i="6" s="1"/>
  <c r="G76" i="6"/>
  <c r="L76" i="6" s="1"/>
  <c r="M76" i="6" s="1"/>
  <c r="J75" i="6"/>
  <c r="K75" i="6" s="1"/>
  <c r="G75" i="6"/>
  <c r="L75" i="6" s="1"/>
  <c r="M75" i="6" s="1"/>
  <c r="J74" i="6"/>
  <c r="K74" i="6" s="1"/>
  <c r="G74" i="6"/>
  <c r="L74" i="6" s="1"/>
  <c r="M74" i="6" s="1"/>
  <c r="J66" i="6"/>
  <c r="K66" i="6" s="1"/>
  <c r="G66" i="6"/>
  <c r="L66" i="6" s="1"/>
  <c r="M66" i="6" s="1"/>
  <c r="J64" i="6"/>
  <c r="K64" i="6" s="1"/>
  <c r="G64" i="6"/>
  <c r="L64" i="6" s="1"/>
  <c r="M64" i="6" s="1"/>
  <c r="H61" i="6"/>
  <c r="J61" i="6" s="1"/>
  <c r="K61" i="6" s="1"/>
  <c r="G61" i="6"/>
  <c r="L61" i="6" s="1"/>
  <c r="M61" i="6" s="1"/>
  <c r="H59" i="6"/>
  <c r="J59" i="6" s="1"/>
  <c r="K59" i="6" s="1"/>
  <c r="E59" i="6"/>
  <c r="G59" i="6" s="1"/>
  <c r="L59" i="6" s="1"/>
  <c r="M59" i="6" s="1"/>
  <c r="J57" i="6"/>
  <c r="K57" i="6" s="1"/>
  <c r="G57" i="6"/>
  <c r="L57" i="6" s="1"/>
  <c r="M57" i="6" s="1"/>
  <c r="J55" i="6"/>
  <c r="K55" i="6" s="1"/>
  <c r="E55" i="6"/>
  <c r="G55" i="6" s="1"/>
  <c r="L55" i="6" s="1"/>
  <c r="M55" i="6" s="1"/>
  <c r="J53" i="6"/>
  <c r="K53" i="6" s="1"/>
  <c r="G53" i="6"/>
  <c r="L53" i="6" s="1"/>
  <c r="M53" i="6" s="1"/>
  <c r="H51" i="6"/>
  <c r="J51" i="6" s="1"/>
  <c r="K51" i="6" s="1"/>
  <c r="G51" i="6"/>
  <c r="L51" i="6" s="1"/>
  <c r="M51" i="6" s="1"/>
  <c r="H47" i="6"/>
  <c r="J47" i="6" s="1"/>
  <c r="K47" i="6" s="1"/>
  <c r="E47" i="6"/>
  <c r="G47" i="6" s="1"/>
  <c r="L47" i="6" s="1"/>
  <c r="M47" i="6" s="1"/>
  <c r="H45" i="6"/>
  <c r="J45" i="6" s="1"/>
  <c r="G45" i="6"/>
  <c r="L45" i="6" s="1"/>
  <c r="D45" i="6"/>
  <c r="M45" i="6" s="1"/>
  <c r="H43" i="6"/>
  <c r="J43" i="6" s="1"/>
  <c r="K43" i="6" s="1"/>
  <c r="G43" i="6"/>
  <c r="L43" i="6" s="1"/>
  <c r="M43" i="6" s="1"/>
  <c r="H41" i="6"/>
  <c r="J41" i="6" s="1"/>
  <c r="K41" i="6" s="1"/>
  <c r="G41" i="6"/>
  <c r="L41" i="6" s="1"/>
  <c r="M41" i="6" s="1"/>
  <c r="H37" i="6"/>
  <c r="J37" i="6" s="1"/>
  <c r="K37" i="6" s="1"/>
  <c r="E37" i="6"/>
  <c r="G37" i="6" s="1"/>
  <c r="L37" i="6" s="1"/>
  <c r="M37" i="6" s="1"/>
  <c r="H36" i="6"/>
  <c r="J36" i="6" s="1"/>
  <c r="K36" i="6" s="1"/>
  <c r="E36" i="6"/>
  <c r="G36" i="6" s="1"/>
  <c r="L36" i="6" s="1"/>
  <c r="M36" i="6" s="1"/>
  <c r="H33" i="6"/>
  <c r="J33" i="6" s="1"/>
  <c r="K33" i="6" s="1"/>
  <c r="E33" i="6"/>
  <c r="G33" i="6" s="1"/>
  <c r="L33" i="6" s="1"/>
  <c r="M33" i="6" s="1"/>
  <c r="H32" i="6"/>
  <c r="J32" i="6" s="1"/>
  <c r="K32" i="6" s="1"/>
  <c r="E32" i="6"/>
  <c r="G32" i="6" s="1"/>
  <c r="L32" i="6" s="1"/>
  <c r="M32" i="6" s="1"/>
  <c r="H31" i="6"/>
  <c r="J31" i="6" s="1"/>
  <c r="K31" i="6" s="1"/>
  <c r="E31" i="6"/>
  <c r="G31" i="6" s="1"/>
  <c r="L31" i="6" s="1"/>
  <c r="M31" i="6" s="1"/>
  <c r="H30" i="6"/>
  <c r="J30" i="6" s="1"/>
  <c r="K30" i="6" s="1"/>
  <c r="E30" i="6"/>
  <c r="G30" i="6" s="1"/>
  <c r="L30" i="6" s="1"/>
  <c r="M30" i="6" s="1"/>
  <c r="H27" i="6"/>
  <c r="J27" i="6" s="1"/>
  <c r="K27" i="6" s="1"/>
  <c r="E27" i="6"/>
  <c r="G27" i="6" s="1"/>
  <c r="L27" i="6" s="1"/>
  <c r="M27" i="6" s="1"/>
  <c r="G26" i="6"/>
  <c r="D26" i="6"/>
  <c r="H23" i="6"/>
  <c r="J23" i="6" s="1"/>
  <c r="K23" i="6" s="1"/>
  <c r="E23" i="6"/>
  <c r="G23" i="6" s="1"/>
  <c r="L23" i="6" s="1"/>
  <c r="M23" i="6" s="1"/>
  <c r="H20" i="6"/>
  <c r="J20" i="6" s="1"/>
  <c r="K20" i="6" s="1"/>
  <c r="E20" i="6"/>
  <c r="G20" i="6" s="1"/>
  <c r="L20" i="6" s="1"/>
  <c r="M20" i="6" s="1"/>
  <c r="H18" i="6"/>
  <c r="J18" i="6" s="1"/>
  <c r="K18" i="6" s="1"/>
  <c r="G18" i="6"/>
  <c r="L18" i="6" s="1"/>
  <c r="M18" i="6" s="1"/>
  <c r="H17" i="6"/>
  <c r="J17" i="6" s="1"/>
  <c r="K17" i="6" s="1"/>
  <c r="G17" i="6"/>
  <c r="L17" i="6" s="1"/>
  <c r="M17" i="6" s="1"/>
  <c r="H14" i="6"/>
  <c r="J14" i="6" s="1"/>
  <c r="K14" i="6" s="1"/>
  <c r="G14" i="6"/>
  <c r="L14" i="6" s="1"/>
  <c r="M14" i="6" s="1"/>
  <c r="J11" i="6"/>
  <c r="K11" i="6" s="1"/>
  <c r="E11" i="6"/>
  <c r="G11" i="6" s="1"/>
  <c r="L11" i="6" s="1"/>
  <c r="M11" i="6" s="1"/>
  <c r="A2" i="6"/>
  <c r="K146" i="5"/>
  <c r="E146" i="5"/>
  <c r="G146" i="5" s="1"/>
  <c r="L146" i="5" s="1"/>
  <c r="M146" i="5" s="1"/>
  <c r="K145" i="5"/>
  <c r="K144" i="5"/>
  <c r="K142" i="5"/>
  <c r="E142" i="5"/>
  <c r="G142" i="5" s="1"/>
  <c r="L142" i="5" s="1"/>
  <c r="M142" i="5" s="1"/>
  <c r="K141" i="5"/>
  <c r="E141" i="5"/>
  <c r="G141" i="5" s="1"/>
  <c r="L141" i="5" s="1"/>
  <c r="M141" i="5" s="1"/>
  <c r="K140" i="5"/>
  <c r="K138" i="5"/>
  <c r="E138" i="5"/>
  <c r="G138" i="5" s="1"/>
  <c r="L138" i="5" s="1"/>
  <c r="M138" i="5" s="1"/>
  <c r="K137" i="5"/>
  <c r="K135" i="5"/>
  <c r="G135" i="5"/>
  <c r="L135" i="5" s="1"/>
  <c r="M135" i="5" s="1"/>
  <c r="K134" i="5"/>
  <c r="K132" i="5"/>
  <c r="H131" i="5"/>
  <c r="K131" i="5" s="1"/>
  <c r="G131" i="5"/>
  <c r="L131" i="5" s="1"/>
  <c r="M131" i="5" s="1"/>
  <c r="J127" i="5"/>
  <c r="K127" i="5" s="1"/>
  <c r="E127" i="5"/>
  <c r="G127" i="5" s="1"/>
  <c r="L127" i="5" s="1"/>
  <c r="M127" i="5" s="1"/>
  <c r="H126" i="5"/>
  <c r="J126" i="5" s="1"/>
  <c r="K126" i="5" s="1"/>
  <c r="E126" i="5"/>
  <c r="G126" i="5" s="1"/>
  <c r="L126" i="5" s="1"/>
  <c r="M126" i="5" s="1"/>
  <c r="H125" i="5"/>
  <c r="J125" i="5" s="1"/>
  <c r="K125" i="5" s="1"/>
  <c r="G125" i="5"/>
  <c r="L125" i="5" s="1"/>
  <c r="M125" i="5" s="1"/>
  <c r="H124" i="5"/>
  <c r="J124" i="5" s="1"/>
  <c r="K124" i="5" s="1"/>
  <c r="G124" i="5"/>
  <c r="L124" i="5" s="1"/>
  <c r="M124" i="5" s="1"/>
  <c r="H118" i="5"/>
  <c r="J118" i="5" s="1"/>
  <c r="K118" i="5" s="1"/>
  <c r="G118" i="5"/>
  <c r="L118" i="5" s="1"/>
  <c r="M118" i="5" s="1"/>
  <c r="H114" i="5"/>
  <c r="J114" i="5" s="1"/>
  <c r="K114" i="5" s="1"/>
  <c r="E114" i="5"/>
  <c r="G114" i="5" s="1"/>
  <c r="L114" i="5" s="1"/>
  <c r="M114" i="5" s="1"/>
  <c r="H113" i="5"/>
  <c r="J113" i="5" s="1"/>
  <c r="K113" i="5" s="1"/>
  <c r="E113" i="5"/>
  <c r="G113" i="5" s="1"/>
  <c r="L113" i="5" s="1"/>
  <c r="M113" i="5" s="1"/>
  <c r="J107" i="5"/>
  <c r="K107" i="5" s="1"/>
  <c r="G107" i="5"/>
  <c r="L107" i="5" s="1"/>
  <c r="M107" i="5" s="1"/>
  <c r="J106" i="5"/>
  <c r="K106" i="5" s="1"/>
  <c r="G106" i="5"/>
  <c r="L106" i="5" s="1"/>
  <c r="M106" i="5" s="1"/>
  <c r="J105" i="5"/>
  <c r="K105" i="5" s="1"/>
  <c r="G105" i="5"/>
  <c r="L105" i="5" s="1"/>
  <c r="M105" i="5" s="1"/>
  <c r="J104" i="5"/>
  <c r="K104" i="5" s="1"/>
  <c r="G104" i="5"/>
  <c r="L104" i="5" s="1"/>
  <c r="M104" i="5" s="1"/>
  <c r="J103" i="5"/>
  <c r="K103" i="5" s="1"/>
  <c r="G103" i="5"/>
  <c r="L103" i="5" s="1"/>
  <c r="M103" i="5" s="1"/>
  <c r="J102" i="5"/>
  <c r="K102" i="5" s="1"/>
  <c r="G102" i="5"/>
  <c r="L102" i="5" s="1"/>
  <c r="M102" i="5" s="1"/>
  <c r="J101" i="5"/>
  <c r="K101" i="5" s="1"/>
  <c r="G101" i="5"/>
  <c r="L101" i="5" s="1"/>
  <c r="M101" i="5" s="1"/>
  <c r="J100" i="5"/>
  <c r="K100" i="5" s="1"/>
  <c r="G100" i="5"/>
  <c r="L100" i="5" s="1"/>
  <c r="M100" i="5" s="1"/>
  <c r="H99" i="5"/>
  <c r="J99" i="5" s="1"/>
  <c r="K99" i="5" s="1"/>
  <c r="G99" i="5"/>
  <c r="L99" i="5" s="1"/>
  <c r="M99" i="5" s="1"/>
  <c r="H98" i="5"/>
  <c r="J98" i="5" s="1"/>
  <c r="K98" i="5" s="1"/>
  <c r="E98" i="5"/>
  <c r="G98" i="5" s="1"/>
  <c r="L98" i="5" s="1"/>
  <c r="M98" i="5" s="1"/>
  <c r="H97" i="5"/>
  <c r="J97" i="5" s="1"/>
  <c r="K97" i="5" s="1"/>
  <c r="E97" i="5"/>
  <c r="G97" i="5" s="1"/>
  <c r="L97" i="5" s="1"/>
  <c r="M97" i="5" s="1"/>
  <c r="J91" i="5"/>
  <c r="K91" i="5" s="1"/>
  <c r="G91" i="5"/>
  <c r="L91" i="5" s="1"/>
  <c r="M91" i="5" s="1"/>
  <c r="J90" i="5"/>
  <c r="K90" i="5" s="1"/>
  <c r="G90" i="5"/>
  <c r="L90" i="5" s="1"/>
  <c r="M90" i="5" s="1"/>
  <c r="J89" i="5"/>
  <c r="K89" i="5" s="1"/>
  <c r="G89" i="5"/>
  <c r="L89" i="5" s="1"/>
  <c r="M89" i="5" s="1"/>
  <c r="J85" i="5"/>
  <c r="K85" i="5" s="1"/>
  <c r="G85" i="5"/>
  <c r="L85" i="5" s="1"/>
  <c r="M85" i="5" s="1"/>
  <c r="J84" i="5"/>
  <c r="K84" i="5" s="1"/>
  <c r="G84" i="5"/>
  <c r="L84" i="5" s="1"/>
  <c r="M84" i="5" s="1"/>
  <c r="J83" i="5"/>
  <c r="K83" i="5" s="1"/>
  <c r="G83" i="5"/>
  <c r="L83" i="5" s="1"/>
  <c r="M83" i="5" s="1"/>
  <c r="J79" i="5"/>
  <c r="K79" i="5" s="1"/>
  <c r="E79" i="5"/>
  <c r="G79" i="5" s="1"/>
  <c r="L79" i="5" s="1"/>
  <c r="M79" i="5" s="1"/>
  <c r="J78" i="5"/>
  <c r="K78" i="5" s="1"/>
  <c r="G78" i="5"/>
  <c r="L78" i="5" s="1"/>
  <c r="M78" i="5" s="1"/>
  <c r="J77" i="5"/>
  <c r="K77" i="5" s="1"/>
  <c r="G77" i="5"/>
  <c r="L77" i="5" s="1"/>
  <c r="M77" i="5" s="1"/>
  <c r="J76" i="5"/>
  <c r="K76" i="5" s="1"/>
  <c r="G76" i="5"/>
  <c r="L76" i="5" s="1"/>
  <c r="M76" i="5" s="1"/>
  <c r="J75" i="5"/>
  <c r="K75" i="5" s="1"/>
  <c r="G75" i="5"/>
  <c r="L75" i="5" s="1"/>
  <c r="M75" i="5" s="1"/>
  <c r="J74" i="5"/>
  <c r="K74" i="5" s="1"/>
  <c r="G74" i="5"/>
  <c r="L74" i="5" s="1"/>
  <c r="M74" i="5" s="1"/>
  <c r="J66" i="5"/>
  <c r="K66" i="5" s="1"/>
  <c r="G66" i="5"/>
  <c r="L66" i="5" s="1"/>
  <c r="M66" i="5" s="1"/>
  <c r="J64" i="5"/>
  <c r="K64" i="5" s="1"/>
  <c r="G64" i="5"/>
  <c r="L64" i="5" s="1"/>
  <c r="M64" i="5" s="1"/>
  <c r="H61" i="5"/>
  <c r="J61" i="5" s="1"/>
  <c r="K61" i="5" s="1"/>
  <c r="G61" i="5"/>
  <c r="L61" i="5" s="1"/>
  <c r="M61" i="5" s="1"/>
  <c r="H59" i="5"/>
  <c r="J59" i="5" s="1"/>
  <c r="K59" i="5" s="1"/>
  <c r="E59" i="5"/>
  <c r="G59" i="5" s="1"/>
  <c r="L59" i="5" s="1"/>
  <c r="M59" i="5" s="1"/>
  <c r="J57" i="5"/>
  <c r="K57" i="5" s="1"/>
  <c r="G57" i="5"/>
  <c r="L57" i="5" s="1"/>
  <c r="M57" i="5" s="1"/>
  <c r="J55" i="5"/>
  <c r="K55" i="5" s="1"/>
  <c r="E55" i="5"/>
  <c r="G55" i="5" s="1"/>
  <c r="L55" i="5" s="1"/>
  <c r="M55" i="5" s="1"/>
  <c r="J53" i="5"/>
  <c r="K53" i="5" s="1"/>
  <c r="G53" i="5"/>
  <c r="L53" i="5" s="1"/>
  <c r="M53" i="5" s="1"/>
  <c r="H51" i="5"/>
  <c r="J51" i="5" s="1"/>
  <c r="K51" i="5" s="1"/>
  <c r="G51" i="5"/>
  <c r="L51" i="5" s="1"/>
  <c r="M51" i="5" s="1"/>
  <c r="H47" i="5"/>
  <c r="J47" i="5" s="1"/>
  <c r="K47" i="5" s="1"/>
  <c r="E47" i="5"/>
  <c r="G47" i="5" s="1"/>
  <c r="L47" i="5" s="1"/>
  <c r="M47" i="5" s="1"/>
  <c r="H45" i="5"/>
  <c r="J45" i="5" s="1"/>
  <c r="G45" i="5"/>
  <c r="L45" i="5" s="1"/>
  <c r="D45" i="5"/>
  <c r="M45" i="5" s="1"/>
  <c r="H43" i="5"/>
  <c r="J43" i="5" s="1"/>
  <c r="K43" i="5" s="1"/>
  <c r="G43" i="5"/>
  <c r="L43" i="5" s="1"/>
  <c r="M43" i="5" s="1"/>
  <c r="H41" i="5"/>
  <c r="J41" i="5" s="1"/>
  <c r="K41" i="5" s="1"/>
  <c r="G41" i="5"/>
  <c r="L41" i="5" s="1"/>
  <c r="M41" i="5" s="1"/>
  <c r="H37" i="5"/>
  <c r="J37" i="5" s="1"/>
  <c r="K37" i="5" s="1"/>
  <c r="E37" i="5"/>
  <c r="G37" i="5" s="1"/>
  <c r="L37" i="5" s="1"/>
  <c r="M37" i="5" s="1"/>
  <c r="H36" i="5"/>
  <c r="J36" i="5" s="1"/>
  <c r="K36" i="5" s="1"/>
  <c r="E36" i="5"/>
  <c r="G36" i="5" s="1"/>
  <c r="L36" i="5" s="1"/>
  <c r="M36" i="5" s="1"/>
  <c r="H33" i="5"/>
  <c r="J33" i="5" s="1"/>
  <c r="K33" i="5" s="1"/>
  <c r="E33" i="5"/>
  <c r="G33" i="5" s="1"/>
  <c r="L33" i="5" s="1"/>
  <c r="M33" i="5" s="1"/>
  <c r="H32" i="5"/>
  <c r="J32" i="5" s="1"/>
  <c r="K32" i="5" s="1"/>
  <c r="E32" i="5"/>
  <c r="G32" i="5" s="1"/>
  <c r="L32" i="5" s="1"/>
  <c r="M32" i="5" s="1"/>
  <c r="H31" i="5"/>
  <c r="J31" i="5" s="1"/>
  <c r="K31" i="5" s="1"/>
  <c r="E31" i="5"/>
  <c r="G31" i="5" s="1"/>
  <c r="L31" i="5" s="1"/>
  <c r="M31" i="5" s="1"/>
  <c r="H30" i="5"/>
  <c r="J30" i="5" s="1"/>
  <c r="K30" i="5" s="1"/>
  <c r="E30" i="5"/>
  <c r="G30" i="5" s="1"/>
  <c r="L30" i="5" s="1"/>
  <c r="M30" i="5" s="1"/>
  <c r="H27" i="5"/>
  <c r="J27" i="5" s="1"/>
  <c r="K27" i="5" s="1"/>
  <c r="E27" i="5"/>
  <c r="G27" i="5" s="1"/>
  <c r="L27" i="5" s="1"/>
  <c r="M27" i="5" s="1"/>
  <c r="H26" i="5"/>
  <c r="J26" i="5" s="1"/>
  <c r="K26" i="5" s="1"/>
  <c r="G26" i="5"/>
  <c r="L26" i="5" s="1"/>
  <c r="M26" i="5" s="1"/>
  <c r="H23" i="5"/>
  <c r="J23" i="5" s="1"/>
  <c r="K23" i="5" s="1"/>
  <c r="E23" i="5"/>
  <c r="G23" i="5" s="1"/>
  <c r="L23" i="5" s="1"/>
  <c r="M23" i="5" s="1"/>
  <c r="H20" i="5"/>
  <c r="J20" i="5" s="1"/>
  <c r="K20" i="5" s="1"/>
  <c r="E20" i="5"/>
  <c r="G20" i="5" s="1"/>
  <c r="L20" i="5" s="1"/>
  <c r="M20" i="5" s="1"/>
  <c r="H18" i="5"/>
  <c r="J18" i="5" s="1"/>
  <c r="K18" i="5" s="1"/>
  <c r="G18" i="5"/>
  <c r="L18" i="5" s="1"/>
  <c r="M18" i="5" s="1"/>
  <c r="H17" i="5"/>
  <c r="J17" i="5" s="1"/>
  <c r="K17" i="5" s="1"/>
  <c r="G17" i="5"/>
  <c r="L17" i="5" s="1"/>
  <c r="M17" i="5" s="1"/>
  <c r="H14" i="5"/>
  <c r="J14" i="5" s="1"/>
  <c r="K14" i="5" s="1"/>
  <c r="G14" i="5"/>
  <c r="L14" i="5" s="1"/>
  <c r="M14" i="5" s="1"/>
  <c r="J11" i="5"/>
  <c r="K11" i="5" s="1"/>
  <c r="E11" i="5"/>
  <c r="G11" i="5" s="1"/>
  <c r="L11" i="5" s="1"/>
  <c r="M11" i="5" s="1"/>
  <c r="M148" i="5" s="1"/>
  <c r="N148" i="5" s="1"/>
  <c r="A2" i="5"/>
  <c r="K146" i="4"/>
  <c r="E146" i="4"/>
  <c r="G146" i="4" s="1"/>
  <c r="L146" i="4" s="1"/>
  <c r="M146" i="4" s="1"/>
  <c r="K145" i="4"/>
  <c r="K144" i="4"/>
  <c r="K142" i="4"/>
  <c r="E142" i="4"/>
  <c r="G142" i="4" s="1"/>
  <c r="L142" i="4" s="1"/>
  <c r="M142" i="4" s="1"/>
  <c r="K141" i="4"/>
  <c r="E141" i="4"/>
  <c r="G141" i="4" s="1"/>
  <c r="L141" i="4" s="1"/>
  <c r="M141" i="4" s="1"/>
  <c r="K140" i="4"/>
  <c r="K138" i="4"/>
  <c r="E138" i="4"/>
  <c r="G138" i="4" s="1"/>
  <c r="L138" i="4" s="1"/>
  <c r="M138" i="4" s="1"/>
  <c r="K137" i="4"/>
  <c r="K135" i="4"/>
  <c r="G135" i="4"/>
  <c r="L135" i="4" s="1"/>
  <c r="M135" i="4" s="1"/>
  <c r="K134" i="4"/>
  <c r="K132" i="4"/>
  <c r="H131" i="4"/>
  <c r="K131" i="4" s="1"/>
  <c r="G131" i="4"/>
  <c r="L131" i="4" s="1"/>
  <c r="M131" i="4" s="1"/>
  <c r="J127" i="4"/>
  <c r="K127" i="4" s="1"/>
  <c r="E127" i="4"/>
  <c r="G127" i="4" s="1"/>
  <c r="L127" i="4" s="1"/>
  <c r="M127" i="4" s="1"/>
  <c r="H126" i="4"/>
  <c r="J126" i="4" s="1"/>
  <c r="K126" i="4" s="1"/>
  <c r="E126" i="4"/>
  <c r="G126" i="4" s="1"/>
  <c r="L126" i="4" s="1"/>
  <c r="M126" i="4" s="1"/>
  <c r="H125" i="4"/>
  <c r="J125" i="4" s="1"/>
  <c r="K125" i="4" s="1"/>
  <c r="G125" i="4"/>
  <c r="L125" i="4" s="1"/>
  <c r="M125" i="4" s="1"/>
  <c r="H124" i="4"/>
  <c r="J124" i="4" s="1"/>
  <c r="K124" i="4" s="1"/>
  <c r="G124" i="4"/>
  <c r="L124" i="4" s="1"/>
  <c r="M124" i="4" s="1"/>
  <c r="H118" i="4"/>
  <c r="J118" i="4" s="1"/>
  <c r="K118" i="4" s="1"/>
  <c r="G118" i="4"/>
  <c r="L118" i="4" s="1"/>
  <c r="M118" i="4" s="1"/>
  <c r="H114" i="4"/>
  <c r="J114" i="4" s="1"/>
  <c r="K114" i="4" s="1"/>
  <c r="E114" i="4"/>
  <c r="G114" i="4" s="1"/>
  <c r="L114" i="4" s="1"/>
  <c r="M114" i="4" s="1"/>
  <c r="H113" i="4"/>
  <c r="J113" i="4" s="1"/>
  <c r="K113" i="4" s="1"/>
  <c r="E113" i="4"/>
  <c r="G113" i="4" s="1"/>
  <c r="L113" i="4" s="1"/>
  <c r="M113" i="4" s="1"/>
  <c r="J107" i="4"/>
  <c r="K107" i="4" s="1"/>
  <c r="G107" i="4"/>
  <c r="L107" i="4" s="1"/>
  <c r="M107" i="4" s="1"/>
  <c r="J106" i="4"/>
  <c r="K106" i="4" s="1"/>
  <c r="G106" i="4"/>
  <c r="L106" i="4" s="1"/>
  <c r="M106" i="4" s="1"/>
  <c r="J105" i="4"/>
  <c r="K105" i="4" s="1"/>
  <c r="G105" i="4"/>
  <c r="L105" i="4" s="1"/>
  <c r="M105" i="4" s="1"/>
  <c r="J104" i="4"/>
  <c r="K104" i="4" s="1"/>
  <c r="G104" i="4"/>
  <c r="L104" i="4" s="1"/>
  <c r="M104" i="4" s="1"/>
  <c r="J103" i="4"/>
  <c r="K103" i="4" s="1"/>
  <c r="G103" i="4"/>
  <c r="L103" i="4" s="1"/>
  <c r="M103" i="4" s="1"/>
  <c r="J102" i="4"/>
  <c r="K102" i="4" s="1"/>
  <c r="G102" i="4"/>
  <c r="L102" i="4" s="1"/>
  <c r="M102" i="4" s="1"/>
  <c r="J101" i="4"/>
  <c r="K101" i="4" s="1"/>
  <c r="G101" i="4"/>
  <c r="L101" i="4" s="1"/>
  <c r="M101" i="4" s="1"/>
  <c r="J100" i="4"/>
  <c r="K100" i="4" s="1"/>
  <c r="G100" i="4"/>
  <c r="L100" i="4" s="1"/>
  <c r="M100" i="4" s="1"/>
  <c r="H99" i="4"/>
  <c r="J99" i="4" s="1"/>
  <c r="K99" i="4" s="1"/>
  <c r="G99" i="4"/>
  <c r="L99" i="4" s="1"/>
  <c r="M99" i="4" s="1"/>
  <c r="H98" i="4"/>
  <c r="J98" i="4" s="1"/>
  <c r="K98" i="4" s="1"/>
  <c r="E98" i="4"/>
  <c r="G98" i="4" s="1"/>
  <c r="L98" i="4" s="1"/>
  <c r="M98" i="4" s="1"/>
  <c r="H97" i="4"/>
  <c r="J97" i="4" s="1"/>
  <c r="K97" i="4" s="1"/>
  <c r="E97" i="4"/>
  <c r="G97" i="4" s="1"/>
  <c r="L97" i="4" s="1"/>
  <c r="M97" i="4" s="1"/>
  <c r="J91" i="4"/>
  <c r="K91" i="4" s="1"/>
  <c r="G91" i="4"/>
  <c r="L91" i="4" s="1"/>
  <c r="M91" i="4" s="1"/>
  <c r="J90" i="4"/>
  <c r="K90" i="4" s="1"/>
  <c r="G90" i="4"/>
  <c r="L90" i="4" s="1"/>
  <c r="M90" i="4" s="1"/>
  <c r="J89" i="4"/>
  <c r="K89" i="4" s="1"/>
  <c r="G89" i="4"/>
  <c r="L89" i="4" s="1"/>
  <c r="M89" i="4" s="1"/>
  <c r="J85" i="4"/>
  <c r="K85" i="4" s="1"/>
  <c r="G85" i="4"/>
  <c r="L85" i="4" s="1"/>
  <c r="M85" i="4" s="1"/>
  <c r="J84" i="4"/>
  <c r="K84" i="4" s="1"/>
  <c r="G84" i="4"/>
  <c r="L84" i="4" s="1"/>
  <c r="M84" i="4" s="1"/>
  <c r="J83" i="4"/>
  <c r="K83" i="4" s="1"/>
  <c r="G83" i="4"/>
  <c r="L83" i="4" s="1"/>
  <c r="M83" i="4" s="1"/>
  <c r="J79" i="4"/>
  <c r="K79" i="4" s="1"/>
  <c r="E79" i="4"/>
  <c r="G79" i="4" s="1"/>
  <c r="L79" i="4" s="1"/>
  <c r="M79" i="4" s="1"/>
  <c r="J78" i="4"/>
  <c r="K78" i="4" s="1"/>
  <c r="G78" i="4"/>
  <c r="L78" i="4" s="1"/>
  <c r="M78" i="4" s="1"/>
  <c r="J77" i="4"/>
  <c r="K77" i="4" s="1"/>
  <c r="G77" i="4"/>
  <c r="L77" i="4" s="1"/>
  <c r="M77" i="4" s="1"/>
  <c r="J76" i="4"/>
  <c r="K76" i="4" s="1"/>
  <c r="G76" i="4"/>
  <c r="L76" i="4" s="1"/>
  <c r="M76" i="4" s="1"/>
  <c r="J75" i="4"/>
  <c r="K75" i="4" s="1"/>
  <c r="G75" i="4"/>
  <c r="L75" i="4" s="1"/>
  <c r="M75" i="4" s="1"/>
  <c r="J74" i="4"/>
  <c r="K74" i="4" s="1"/>
  <c r="G74" i="4"/>
  <c r="L74" i="4" s="1"/>
  <c r="M74" i="4" s="1"/>
  <c r="J66" i="4"/>
  <c r="K66" i="4" s="1"/>
  <c r="G66" i="4"/>
  <c r="L66" i="4" s="1"/>
  <c r="M66" i="4" s="1"/>
  <c r="J64" i="4"/>
  <c r="K64" i="4" s="1"/>
  <c r="G64" i="4"/>
  <c r="L64" i="4" s="1"/>
  <c r="M64" i="4" s="1"/>
  <c r="H61" i="4"/>
  <c r="J61" i="4" s="1"/>
  <c r="K61" i="4" s="1"/>
  <c r="G61" i="4"/>
  <c r="L61" i="4" s="1"/>
  <c r="M61" i="4" s="1"/>
  <c r="H59" i="4"/>
  <c r="J59" i="4" s="1"/>
  <c r="K59" i="4" s="1"/>
  <c r="E59" i="4"/>
  <c r="G59" i="4" s="1"/>
  <c r="L59" i="4" s="1"/>
  <c r="M59" i="4" s="1"/>
  <c r="J57" i="4"/>
  <c r="K57" i="4" s="1"/>
  <c r="G57" i="4"/>
  <c r="L57" i="4" s="1"/>
  <c r="M57" i="4" s="1"/>
  <c r="J55" i="4"/>
  <c r="K55" i="4" s="1"/>
  <c r="E55" i="4"/>
  <c r="G55" i="4" s="1"/>
  <c r="L55" i="4" s="1"/>
  <c r="M55" i="4" s="1"/>
  <c r="J53" i="4"/>
  <c r="K53" i="4" s="1"/>
  <c r="G53" i="4"/>
  <c r="L53" i="4" s="1"/>
  <c r="M53" i="4" s="1"/>
  <c r="H51" i="4"/>
  <c r="J51" i="4" s="1"/>
  <c r="K51" i="4" s="1"/>
  <c r="G51" i="4"/>
  <c r="L51" i="4" s="1"/>
  <c r="M51" i="4" s="1"/>
  <c r="H47" i="4"/>
  <c r="J47" i="4" s="1"/>
  <c r="K47" i="4" s="1"/>
  <c r="E47" i="4"/>
  <c r="G47" i="4" s="1"/>
  <c r="L47" i="4" s="1"/>
  <c r="M47" i="4" s="1"/>
  <c r="H45" i="4"/>
  <c r="J45" i="4" s="1"/>
  <c r="G45" i="4"/>
  <c r="L45" i="4" s="1"/>
  <c r="D45" i="4"/>
  <c r="M45" i="4" s="1"/>
  <c r="H43" i="4"/>
  <c r="J43" i="4" s="1"/>
  <c r="K43" i="4" s="1"/>
  <c r="G43" i="4"/>
  <c r="L43" i="4" s="1"/>
  <c r="M43" i="4" s="1"/>
  <c r="H41" i="4"/>
  <c r="J41" i="4" s="1"/>
  <c r="K41" i="4" s="1"/>
  <c r="G41" i="4"/>
  <c r="L41" i="4" s="1"/>
  <c r="M41" i="4" s="1"/>
  <c r="H37" i="4"/>
  <c r="J37" i="4" s="1"/>
  <c r="K37" i="4" s="1"/>
  <c r="E37" i="4"/>
  <c r="G37" i="4" s="1"/>
  <c r="L37" i="4" s="1"/>
  <c r="M37" i="4" s="1"/>
  <c r="H36" i="4"/>
  <c r="J36" i="4" s="1"/>
  <c r="K36" i="4" s="1"/>
  <c r="E36" i="4"/>
  <c r="G36" i="4" s="1"/>
  <c r="L36" i="4" s="1"/>
  <c r="M36" i="4" s="1"/>
  <c r="H33" i="4"/>
  <c r="J33" i="4" s="1"/>
  <c r="K33" i="4" s="1"/>
  <c r="E33" i="4"/>
  <c r="G33" i="4" s="1"/>
  <c r="L33" i="4" s="1"/>
  <c r="M33" i="4" s="1"/>
  <c r="H32" i="4"/>
  <c r="J32" i="4" s="1"/>
  <c r="K32" i="4" s="1"/>
  <c r="E32" i="4"/>
  <c r="G32" i="4" s="1"/>
  <c r="L32" i="4" s="1"/>
  <c r="M32" i="4" s="1"/>
  <c r="H31" i="4"/>
  <c r="J31" i="4" s="1"/>
  <c r="K31" i="4" s="1"/>
  <c r="E31" i="4"/>
  <c r="G31" i="4" s="1"/>
  <c r="L31" i="4" s="1"/>
  <c r="M31" i="4" s="1"/>
  <c r="H30" i="4"/>
  <c r="J30" i="4" s="1"/>
  <c r="K30" i="4" s="1"/>
  <c r="E30" i="4"/>
  <c r="G30" i="4" s="1"/>
  <c r="L30" i="4" s="1"/>
  <c r="M30" i="4" s="1"/>
  <c r="H27" i="4"/>
  <c r="J27" i="4" s="1"/>
  <c r="K27" i="4" s="1"/>
  <c r="E27" i="4"/>
  <c r="G27" i="4" s="1"/>
  <c r="L27" i="4" s="1"/>
  <c r="M27" i="4" s="1"/>
  <c r="H26" i="4"/>
  <c r="J26" i="4" s="1"/>
  <c r="K26" i="4" s="1"/>
  <c r="G26" i="4"/>
  <c r="L26" i="4" s="1"/>
  <c r="M26" i="4" s="1"/>
  <c r="H23" i="4"/>
  <c r="J23" i="4" s="1"/>
  <c r="K23" i="4" s="1"/>
  <c r="E23" i="4"/>
  <c r="G23" i="4" s="1"/>
  <c r="L23" i="4" s="1"/>
  <c r="M23" i="4" s="1"/>
  <c r="H20" i="4"/>
  <c r="J20" i="4" s="1"/>
  <c r="K20" i="4" s="1"/>
  <c r="E20" i="4"/>
  <c r="G20" i="4" s="1"/>
  <c r="L20" i="4" s="1"/>
  <c r="M20" i="4" s="1"/>
  <c r="H18" i="4"/>
  <c r="J18" i="4" s="1"/>
  <c r="K18" i="4" s="1"/>
  <c r="G18" i="4"/>
  <c r="L18" i="4" s="1"/>
  <c r="M18" i="4" s="1"/>
  <c r="H17" i="4"/>
  <c r="J17" i="4" s="1"/>
  <c r="K17" i="4" s="1"/>
  <c r="G17" i="4"/>
  <c r="L17" i="4" s="1"/>
  <c r="M17" i="4" s="1"/>
  <c r="H14" i="4"/>
  <c r="J14" i="4" s="1"/>
  <c r="K14" i="4" s="1"/>
  <c r="G14" i="4"/>
  <c r="L14" i="4" s="1"/>
  <c r="M14" i="4" s="1"/>
  <c r="J11" i="4"/>
  <c r="K11" i="4" s="1"/>
  <c r="E11" i="4"/>
  <c r="G11" i="4" s="1"/>
  <c r="L11" i="4" s="1"/>
  <c r="M11" i="4" s="1"/>
  <c r="M148" i="4" s="1"/>
  <c r="A2" i="4"/>
  <c r="K146" i="3"/>
  <c r="E146" i="3"/>
  <c r="G146" i="3" s="1"/>
  <c r="L146" i="3" s="1"/>
  <c r="M146" i="3" s="1"/>
  <c r="K145" i="3"/>
  <c r="K144" i="3"/>
  <c r="K142" i="3"/>
  <c r="E142" i="3"/>
  <c r="G142" i="3" s="1"/>
  <c r="L142" i="3" s="1"/>
  <c r="M142" i="3" s="1"/>
  <c r="K141" i="3"/>
  <c r="E141" i="3"/>
  <c r="G141" i="3" s="1"/>
  <c r="L141" i="3" s="1"/>
  <c r="M141" i="3" s="1"/>
  <c r="K140" i="3"/>
  <c r="K138" i="3"/>
  <c r="E138" i="3"/>
  <c r="G138" i="3" s="1"/>
  <c r="L138" i="3" s="1"/>
  <c r="M138" i="3" s="1"/>
  <c r="K137" i="3"/>
  <c r="K135" i="3"/>
  <c r="G135" i="3"/>
  <c r="L135" i="3" s="1"/>
  <c r="M135" i="3" s="1"/>
  <c r="K134" i="3"/>
  <c r="K132" i="3"/>
  <c r="H131" i="3"/>
  <c r="K131" i="3" s="1"/>
  <c r="G131" i="3"/>
  <c r="L131" i="3" s="1"/>
  <c r="M131" i="3" s="1"/>
  <c r="J127" i="3"/>
  <c r="K127" i="3" s="1"/>
  <c r="E127" i="3"/>
  <c r="G127" i="3" s="1"/>
  <c r="L127" i="3" s="1"/>
  <c r="M127" i="3" s="1"/>
  <c r="H126" i="3"/>
  <c r="J126" i="3" s="1"/>
  <c r="K126" i="3" s="1"/>
  <c r="E126" i="3"/>
  <c r="G126" i="3" s="1"/>
  <c r="L126" i="3" s="1"/>
  <c r="M126" i="3" s="1"/>
  <c r="H125" i="3"/>
  <c r="J125" i="3" s="1"/>
  <c r="K125" i="3" s="1"/>
  <c r="G125" i="3"/>
  <c r="L125" i="3" s="1"/>
  <c r="M125" i="3" s="1"/>
  <c r="H124" i="3"/>
  <c r="J124" i="3" s="1"/>
  <c r="K124" i="3" s="1"/>
  <c r="G124" i="3"/>
  <c r="L124" i="3" s="1"/>
  <c r="M124" i="3" s="1"/>
  <c r="H118" i="3"/>
  <c r="J118" i="3" s="1"/>
  <c r="K118" i="3" s="1"/>
  <c r="G118" i="3"/>
  <c r="L118" i="3" s="1"/>
  <c r="M118" i="3" s="1"/>
  <c r="H114" i="3"/>
  <c r="J114" i="3" s="1"/>
  <c r="K114" i="3" s="1"/>
  <c r="E114" i="3"/>
  <c r="G114" i="3" s="1"/>
  <c r="L114" i="3" s="1"/>
  <c r="M114" i="3" s="1"/>
  <c r="H113" i="3"/>
  <c r="J113" i="3" s="1"/>
  <c r="K113" i="3" s="1"/>
  <c r="E113" i="3"/>
  <c r="G113" i="3" s="1"/>
  <c r="L113" i="3" s="1"/>
  <c r="M113" i="3" s="1"/>
  <c r="J107" i="3"/>
  <c r="K107" i="3" s="1"/>
  <c r="G107" i="3"/>
  <c r="L107" i="3" s="1"/>
  <c r="M107" i="3" s="1"/>
  <c r="J106" i="3"/>
  <c r="K106" i="3" s="1"/>
  <c r="G106" i="3"/>
  <c r="L106" i="3" s="1"/>
  <c r="M106" i="3" s="1"/>
  <c r="J105" i="3"/>
  <c r="K105" i="3" s="1"/>
  <c r="G105" i="3"/>
  <c r="L105" i="3" s="1"/>
  <c r="M105" i="3" s="1"/>
  <c r="J104" i="3"/>
  <c r="K104" i="3" s="1"/>
  <c r="G104" i="3"/>
  <c r="L104" i="3" s="1"/>
  <c r="M104" i="3" s="1"/>
  <c r="J103" i="3"/>
  <c r="K103" i="3" s="1"/>
  <c r="G103" i="3"/>
  <c r="L103" i="3" s="1"/>
  <c r="M103" i="3" s="1"/>
  <c r="J102" i="3"/>
  <c r="K102" i="3" s="1"/>
  <c r="G102" i="3"/>
  <c r="L102" i="3" s="1"/>
  <c r="M102" i="3" s="1"/>
  <c r="J101" i="3"/>
  <c r="K101" i="3" s="1"/>
  <c r="G101" i="3"/>
  <c r="L101" i="3" s="1"/>
  <c r="M101" i="3" s="1"/>
  <c r="J100" i="3"/>
  <c r="K100" i="3" s="1"/>
  <c r="G100" i="3"/>
  <c r="L100" i="3" s="1"/>
  <c r="M100" i="3" s="1"/>
  <c r="H99" i="3"/>
  <c r="J99" i="3" s="1"/>
  <c r="K99" i="3" s="1"/>
  <c r="G99" i="3"/>
  <c r="L99" i="3" s="1"/>
  <c r="M99" i="3" s="1"/>
  <c r="H98" i="3"/>
  <c r="J98" i="3" s="1"/>
  <c r="K98" i="3" s="1"/>
  <c r="E98" i="3"/>
  <c r="G98" i="3" s="1"/>
  <c r="L98" i="3" s="1"/>
  <c r="M98" i="3" s="1"/>
  <c r="H97" i="3"/>
  <c r="J97" i="3" s="1"/>
  <c r="K97" i="3" s="1"/>
  <c r="E97" i="3"/>
  <c r="G97" i="3" s="1"/>
  <c r="L97" i="3" s="1"/>
  <c r="M97" i="3" s="1"/>
  <c r="J91" i="3"/>
  <c r="K91" i="3" s="1"/>
  <c r="G91" i="3"/>
  <c r="L91" i="3" s="1"/>
  <c r="M91" i="3" s="1"/>
  <c r="J90" i="3"/>
  <c r="K90" i="3" s="1"/>
  <c r="G90" i="3"/>
  <c r="L90" i="3" s="1"/>
  <c r="M90" i="3" s="1"/>
  <c r="J89" i="3"/>
  <c r="K89" i="3" s="1"/>
  <c r="G89" i="3"/>
  <c r="L89" i="3" s="1"/>
  <c r="M89" i="3" s="1"/>
  <c r="J85" i="3"/>
  <c r="K85" i="3" s="1"/>
  <c r="G85" i="3"/>
  <c r="L85" i="3" s="1"/>
  <c r="M85" i="3" s="1"/>
  <c r="J84" i="3"/>
  <c r="K84" i="3" s="1"/>
  <c r="G84" i="3"/>
  <c r="L84" i="3" s="1"/>
  <c r="M84" i="3" s="1"/>
  <c r="J83" i="3"/>
  <c r="K83" i="3" s="1"/>
  <c r="G83" i="3"/>
  <c r="L83" i="3" s="1"/>
  <c r="M83" i="3" s="1"/>
  <c r="J79" i="3"/>
  <c r="K79" i="3" s="1"/>
  <c r="E79" i="3"/>
  <c r="G79" i="3" s="1"/>
  <c r="L79" i="3" s="1"/>
  <c r="M79" i="3" s="1"/>
  <c r="J78" i="3"/>
  <c r="K78" i="3" s="1"/>
  <c r="G78" i="3"/>
  <c r="L78" i="3" s="1"/>
  <c r="M78" i="3" s="1"/>
  <c r="J77" i="3"/>
  <c r="K77" i="3" s="1"/>
  <c r="G77" i="3"/>
  <c r="L77" i="3" s="1"/>
  <c r="M77" i="3" s="1"/>
  <c r="J76" i="3"/>
  <c r="K76" i="3" s="1"/>
  <c r="G76" i="3"/>
  <c r="L76" i="3" s="1"/>
  <c r="M76" i="3" s="1"/>
  <c r="J75" i="3"/>
  <c r="K75" i="3" s="1"/>
  <c r="G75" i="3"/>
  <c r="L75" i="3" s="1"/>
  <c r="M75" i="3" s="1"/>
  <c r="J74" i="3"/>
  <c r="K74" i="3" s="1"/>
  <c r="G74" i="3"/>
  <c r="L74" i="3" s="1"/>
  <c r="M74" i="3" s="1"/>
  <c r="J66" i="3"/>
  <c r="K66" i="3" s="1"/>
  <c r="G66" i="3"/>
  <c r="L66" i="3" s="1"/>
  <c r="M66" i="3" s="1"/>
  <c r="J64" i="3"/>
  <c r="K64" i="3" s="1"/>
  <c r="G64" i="3"/>
  <c r="L64" i="3" s="1"/>
  <c r="M64" i="3" s="1"/>
  <c r="H61" i="3"/>
  <c r="J61" i="3" s="1"/>
  <c r="K61" i="3" s="1"/>
  <c r="G61" i="3"/>
  <c r="L61" i="3" s="1"/>
  <c r="M61" i="3" s="1"/>
  <c r="H59" i="3"/>
  <c r="J59" i="3" s="1"/>
  <c r="K59" i="3" s="1"/>
  <c r="E59" i="3"/>
  <c r="G59" i="3" s="1"/>
  <c r="L59" i="3" s="1"/>
  <c r="M59" i="3" s="1"/>
  <c r="J57" i="3"/>
  <c r="K57" i="3" s="1"/>
  <c r="G57" i="3"/>
  <c r="L57" i="3" s="1"/>
  <c r="M57" i="3" s="1"/>
  <c r="J55" i="3"/>
  <c r="K55" i="3" s="1"/>
  <c r="E55" i="3"/>
  <c r="G55" i="3" s="1"/>
  <c r="L55" i="3" s="1"/>
  <c r="M55" i="3" s="1"/>
  <c r="J53" i="3"/>
  <c r="K53" i="3" s="1"/>
  <c r="G53" i="3"/>
  <c r="L53" i="3" s="1"/>
  <c r="M53" i="3" s="1"/>
  <c r="H51" i="3"/>
  <c r="J51" i="3" s="1"/>
  <c r="K51" i="3" s="1"/>
  <c r="G51" i="3"/>
  <c r="L51" i="3" s="1"/>
  <c r="M51" i="3" s="1"/>
  <c r="H47" i="3"/>
  <c r="J47" i="3" s="1"/>
  <c r="K47" i="3" s="1"/>
  <c r="E47" i="3"/>
  <c r="G47" i="3" s="1"/>
  <c r="L47" i="3" s="1"/>
  <c r="M47" i="3" s="1"/>
  <c r="H45" i="3"/>
  <c r="J45" i="3" s="1"/>
  <c r="G45" i="3"/>
  <c r="L45" i="3" s="1"/>
  <c r="D45" i="3"/>
  <c r="M45" i="3" s="1"/>
  <c r="H43" i="3"/>
  <c r="J43" i="3" s="1"/>
  <c r="K43" i="3" s="1"/>
  <c r="G43" i="3"/>
  <c r="L43" i="3" s="1"/>
  <c r="M43" i="3" s="1"/>
  <c r="H41" i="3"/>
  <c r="J41" i="3" s="1"/>
  <c r="K41" i="3" s="1"/>
  <c r="G41" i="3"/>
  <c r="L41" i="3" s="1"/>
  <c r="M41" i="3" s="1"/>
  <c r="H37" i="3"/>
  <c r="J37" i="3" s="1"/>
  <c r="K37" i="3" s="1"/>
  <c r="E37" i="3"/>
  <c r="G37" i="3" s="1"/>
  <c r="L37" i="3" s="1"/>
  <c r="M37" i="3" s="1"/>
  <c r="H36" i="3"/>
  <c r="J36" i="3" s="1"/>
  <c r="K36" i="3" s="1"/>
  <c r="E36" i="3"/>
  <c r="G36" i="3" s="1"/>
  <c r="L36" i="3" s="1"/>
  <c r="M36" i="3" s="1"/>
  <c r="H33" i="3"/>
  <c r="J33" i="3" s="1"/>
  <c r="K33" i="3" s="1"/>
  <c r="E33" i="3"/>
  <c r="G33" i="3" s="1"/>
  <c r="L33" i="3" s="1"/>
  <c r="M33" i="3" s="1"/>
  <c r="H32" i="3"/>
  <c r="J32" i="3" s="1"/>
  <c r="K32" i="3" s="1"/>
  <c r="E32" i="3"/>
  <c r="G32" i="3" s="1"/>
  <c r="L32" i="3" s="1"/>
  <c r="M32" i="3" s="1"/>
  <c r="H31" i="3"/>
  <c r="J31" i="3" s="1"/>
  <c r="K31" i="3" s="1"/>
  <c r="E31" i="3"/>
  <c r="G31" i="3" s="1"/>
  <c r="L31" i="3" s="1"/>
  <c r="M31" i="3" s="1"/>
  <c r="H30" i="3"/>
  <c r="J30" i="3" s="1"/>
  <c r="K30" i="3" s="1"/>
  <c r="E30" i="3"/>
  <c r="G30" i="3" s="1"/>
  <c r="L30" i="3" s="1"/>
  <c r="M30" i="3" s="1"/>
  <c r="H27" i="3"/>
  <c r="J27" i="3" s="1"/>
  <c r="K27" i="3" s="1"/>
  <c r="E27" i="3"/>
  <c r="G27" i="3" s="1"/>
  <c r="L27" i="3" s="1"/>
  <c r="M27" i="3" s="1"/>
  <c r="H26" i="3"/>
  <c r="J26" i="3" s="1"/>
  <c r="K26" i="3" s="1"/>
  <c r="G26" i="3"/>
  <c r="L26" i="3" s="1"/>
  <c r="M26" i="3" s="1"/>
  <c r="H23" i="3"/>
  <c r="J23" i="3" s="1"/>
  <c r="K23" i="3" s="1"/>
  <c r="E23" i="3"/>
  <c r="G23" i="3" s="1"/>
  <c r="L23" i="3" s="1"/>
  <c r="M23" i="3" s="1"/>
  <c r="H20" i="3"/>
  <c r="J20" i="3" s="1"/>
  <c r="K20" i="3" s="1"/>
  <c r="E20" i="3"/>
  <c r="G20" i="3" s="1"/>
  <c r="L20" i="3" s="1"/>
  <c r="M20" i="3" s="1"/>
  <c r="H18" i="3"/>
  <c r="J18" i="3" s="1"/>
  <c r="K18" i="3" s="1"/>
  <c r="G18" i="3"/>
  <c r="L18" i="3" s="1"/>
  <c r="M18" i="3" s="1"/>
  <c r="H17" i="3"/>
  <c r="J17" i="3" s="1"/>
  <c r="K17" i="3" s="1"/>
  <c r="G17" i="3"/>
  <c r="L17" i="3" s="1"/>
  <c r="M17" i="3" s="1"/>
  <c r="H14" i="3"/>
  <c r="J14" i="3" s="1"/>
  <c r="K14" i="3" s="1"/>
  <c r="G14" i="3"/>
  <c r="L14" i="3" s="1"/>
  <c r="M14" i="3" s="1"/>
  <c r="J11" i="3"/>
  <c r="E11" i="3"/>
  <c r="G11" i="3" s="1"/>
  <c r="L11" i="3" s="1"/>
  <c r="D11" i="3"/>
  <c r="M11" i="3" s="1"/>
  <c r="M148" i="3" s="1"/>
  <c r="A2" i="3"/>
  <c r="H29" i="2"/>
  <c r="H28" i="2"/>
  <c r="H26" i="2"/>
  <c r="H25" i="2"/>
  <c r="H24" i="2"/>
  <c r="H23" i="2"/>
  <c r="H22" i="2"/>
  <c r="H21" i="2"/>
  <c r="H20" i="2"/>
  <c r="H19" i="2"/>
  <c r="H18" i="2"/>
  <c r="H17" i="2"/>
  <c r="C8" i="2"/>
  <c r="J22" i="20" l="1"/>
  <c r="G25" i="1" s="1"/>
  <c r="H30" i="2"/>
  <c r="G15" i="1" s="1"/>
  <c r="J65" i="15"/>
  <c r="G20" i="1" s="1"/>
  <c r="C8" i="20"/>
  <c r="C7" i="19"/>
  <c r="C8" i="18"/>
  <c r="C7" i="17"/>
  <c r="C6" i="16"/>
  <c r="C6" i="15"/>
  <c r="C7" i="13"/>
  <c r="C7" i="12"/>
  <c r="C7" i="11"/>
  <c r="K11" i="3"/>
  <c r="K45" i="3"/>
  <c r="K45" i="4"/>
  <c r="K148" i="4" s="1"/>
  <c r="K45" i="5"/>
  <c r="K148" i="5" s="1"/>
  <c r="H26" i="6"/>
  <c r="J26" i="6" s="1"/>
  <c r="K26" i="6" s="1"/>
  <c r="L26" i="6"/>
  <c r="M26" i="6" s="1"/>
  <c r="M149" i="6" s="1"/>
  <c r="K45" i="6"/>
  <c r="K45" i="7"/>
  <c r="K149" i="7" s="1"/>
  <c r="K45" i="8"/>
  <c r="K149" i="8" s="1"/>
  <c r="H26" i="9"/>
  <c r="J26" i="9" s="1"/>
  <c r="K26" i="9" s="1"/>
  <c r="L26" i="9"/>
  <c r="M26" i="9" s="1"/>
  <c r="M151" i="9" s="1"/>
  <c r="K32" i="9"/>
  <c r="K45" i="9"/>
  <c r="K53" i="9"/>
  <c r="K64" i="9"/>
  <c r="K116" i="9"/>
  <c r="K32" i="10"/>
  <c r="K45" i="10"/>
  <c r="K53" i="10"/>
  <c r="K64" i="10"/>
  <c r="K116" i="10"/>
  <c r="J41" i="11"/>
  <c r="J53" i="11"/>
  <c r="J38" i="12"/>
  <c r="J48" i="12"/>
  <c r="J25" i="13"/>
  <c r="J43" i="13"/>
  <c r="J45" i="13"/>
  <c r="J48" i="13"/>
  <c r="J52" i="13"/>
  <c r="J54" i="13"/>
  <c r="J55" i="13"/>
  <c r="J58" i="13"/>
  <c r="J38" i="14"/>
  <c r="J72" i="14" s="1"/>
  <c r="G19" i="1" s="1"/>
  <c r="J24" i="16"/>
  <c r="J45" i="16"/>
  <c r="J48" i="16"/>
  <c r="J61" i="16"/>
  <c r="J37" i="17"/>
  <c r="J38" i="17"/>
  <c r="J41" i="17"/>
  <c r="J46" i="17"/>
  <c r="J54" i="17"/>
  <c r="J56" i="17"/>
  <c r="J60" i="17"/>
  <c r="J64" i="17"/>
  <c r="J66" i="17"/>
  <c r="J67" i="17"/>
  <c r="J70" i="17"/>
  <c r="J76" i="17"/>
  <c r="J49" i="18"/>
  <c r="J51" i="18"/>
  <c r="J55" i="18"/>
  <c r="J65" i="18"/>
  <c r="J35" i="19"/>
  <c r="J68" i="19" s="1"/>
  <c r="G24" i="1" s="1"/>
  <c r="K23" i="21"/>
  <c r="H26" i="21"/>
  <c r="J26" i="21" s="1"/>
  <c r="K26" i="21" s="1"/>
  <c r="L26" i="21"/>
  <c r="M26" i="21" s="1"/>
  <c r="M149" i="21" s="1"/>
  <c r="K31" i="21"/>
  <c r="K45" i="21"/>
  <c r="K53" i="21"/>
  <c r="K76" i="21"/>
  <c r="K78" i="21"/>
  <c r="K83" i="21"/>
  <c r="K85" i="21"/>
  <c r="K114" i="21"/>
  <c r="K23" i="22"/>
  <c r="H26" i="22"/>
  <c r="J26" i="22" s="1"/>
  <c r="K26" i="22" s="1"/>
  <c r="L26" i="22"/>
  <c r="M26" i="22" s="1"/>
  <c r="M149" i="22" s="1"/>
  <c r="K31" i="22"/>
  <c r="K45" i="22"/>
  <c r="K53" i="22"/>
  <c r="K76" i="22"/>
  <c r="K78" i="22"/>
  <c r="K83" i="22"/>
  <c r="K85" i="22"/>
  <c r="K114" i="22"/>
  <c r="K31" i="23"/>
  <c r="K45" i="23"/>
  <c r="K53" i="23"/>
  <c r="K76" i="23"/>
  <c r="K78" i="23"/>
  <c r="K83" i="23"/>
  <c r="K85" i="23"/>
  <c r="K114" i="23"/>
  <c r="H26" i="24"/>
  <c r="J26" i="24" s="1"/>
  <c r="K26" i="24" s="1"/>
  <c r="L26" i="24"/>
  <c r="M26" i="24" s="1"/>
  <c r="M149" i="24" s="1"/>
  <c r="K30" i="24"/>
  <c r="K31" i="24"/>
  <c r="K41" i="24"/>
  <c r="K45" i="24"/>
  <c r="K53" i="24"/>
  <c r="K75" i="24"/>
  <c r="K85" i="24"/>
  <c r="H26" i="25"/>
  <c r="J26" i="25" s="1"/>
  <c r="K26" i="25" s="1"/>
  <c r="L26" i="25"/>
  <c r="M26" i="25" s="1"/>
  <c r="M149" i="25" s="1"/>
  <c r="K31" i="25"/>
  <c r="K41" i="25"/>
  <c r="K45" i="25"/>
  <c r="K53" i="25"/>
  <c r="K75" i="25"/>
  <c r="K85" i="25"/>
  <c r="K31" i="26"/>
  <c r="K41" i="26"/>
  <c r="K45" i="26"/>
  <c r="K53" i="26"/>
  <c r="K75" i="26"/>
  <c r="K85" i="26"/>
  <c r="H26" i="27"/>
  <c r="J26" i="27" s="1"/>
  <c r="K26" i="27" s="1"/>
  <c r="L26" i="27"/>
  <c r="M26" i="27" s="1"/>
  <c r="M156" i="27" s="1"/>
  <c r="K31" i="27"/>
  <c r="K43" i="27"/>
  <c r="K83" i="27"/>
  <c r="K90" i="27"/>
  <c r="H26" i="28"/>
  <c r="J26" i="28" s="1"/>
  <c r="K26" i="28" s="1"/>
  <c r="L26" i="28"/>
  <c r="M26" i="28" s="1"/>
  <c r="M156" i="28" s="1"/>
  <c r="K31" i="28"/>
  <c r="K43" i="28"/>
  <c r="K83" i="28"/>
  <c r="K90" i="28"/>
  <c r="H26" i="29"/>
  <c r="J26" i="29" s="1"/>
  <c r="K26" i="29" s="1"/>
  <c r="L26" i="29"/>
  <c r="M26" i="29" s="1"/>
  <c r="M156" i="29" s="1"/>
  <c r="N156" i="29" s="1"/>
  <c r="K31" i="29"/>
  <c r="K43" i="29"/>
  <c r="K83" i="29"/>
  <c r="K90" i="29"/>
  <c r="H26" i="30"/>
  <c r="J26" i="30" s="1"/>
  <c r="K26" i="30" s="1"/>
  <c r="L26" i="30"/>
  <c r="M26" i="30" s="1"/>
  <c r="M156" i="30" s="1"/>
  <c r="N156" i="30" s="1"/>
  <c r="K31" i="30"/>
  <c r="K43" i="30"/>
  <c r="K83" i="30"/>
  <c r="K90" i="30"/>
  <c r="H28" i="31"/>
  <c r="J28" i="31" s="1"/>
  <c r="K28" i="31" s="1"/>
  <c r="L28" i="31"/>
  <c r="M28" i="31" s="1"/>
  <c r="M158" i="31" s="1"/>
  <c r="K45" i="31"/>
  <c r="K49" i="31"/>
  <c r="K81" i="31"/>
  <c r="K85" i="31"/>
  <c r="H27" i="32"/>
  <c r="J27" i="32" s="1"/>
  <c r="K27" i="32" s="1"/>
  <c r="L27" i="32"/>
  <c r="M27" i="32" s="1"/>
  <c r="M157" i="32" s="1"/>
  <c r="N157" i="32" s="1"/>
  <c r="K44" i="32"/>
  <c r="K48" i="32"/>
  <c r="K80" i="32"/>
  <c r="K84" i="32"/>
  <c r="K44" i="33"/>
  <c r="K48" i="33"/>
  <c r="K80" i="33"/>
  <c r="K84" i="33"/>
  <c r="K157" i="33" l="1"/>
  <c r="K157" i="32"/>
  <c r="K158" i="31"/>
  <c r="K156" i="30"/>
  <c r="K156" i="29"/>
  <c r="K156" i="28"/>
  <c r="K156" i="27"/>
  <c r="K149" i="26"/>
  <c r="K149" i="25"/>
  <c r="K149" i="24"/>
  <c r="K149" i="23"/>
  <c r="K149" i="22"/>
  <c r="K149" i="21"/>
  <c r="J83" i="18"/>
  <c r="G23" i="1" s="1"/>
  <c r="J85" i="17"/>
  <c r="G22" i="1" s="1"/>
  <c r="J80" i="16"/>
  <c r="G21" i="1" s="1"/>
  <c r="J76" i="13"/>
  <c r="G18" i="1" s="1"/>
  <c r="J71" i="12"/>
  <c r="J76" i="11"/>
  <c r="G16" i="1" s="1"/>
  <c r="K151" i="10"/>
  <c r="K151" i="9"/>
  <c r="K149" i="6"/>
  <c r="K148" i="3"/>
  <c r="G26" i="1" l="1"/>
  <c r="G28" i="1" l="1"/>
  <c r="G27" i="1"/>
  <c r="G29" i="1" l="1"/>
  <c r="G30" i="1" s="1"/>
  <c r="G31" i="1"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<sst xmlns="http://schemas.openxmlformats.org/spreadsheetml/2006/main" count="7220" uniqueCount="461">
  <si>
    <t xml:space="preserve">BILL OF QUANTITIES </t>
  </si>
  <si>
    <t>ACSA KSIA POWER FACTOR CORRECTION UPGRADE</t>
  </si>
  <si>
    <t>SUMMARY OF BILL OF QUANTITIES - Tender BoQ</t>
  </si>
  <si>
    <t>SECTION</t>
  </si>
  <si>
    <t>DESCRIPTION</t>
  </si>
  <si>
    <t>AMOUNT</t>
  </si>
  <si>
    <t>SECTION 1</t>
  </si>
  <si>
    <t>PRELIMINARIES AND GENERAL</t>
  </si>
  <si>
    <t>SECTION 2</t>
  </si>
  <si>
    <t>MSP LV Switchroom</t>
  </si>
  <si>
    <t>SECTION 3</t>
  </si>
  <si>
    <t>ATC LV Switchroom</t>
  </si>
  <si>
    <t>SECTION 4</t>
  </si>
  <si>
    <t>Airside Substation 1</t>
  </si>
  <si>
    <t>SECTION 5</t>
  </si>
  <si>
    <t>Airside Substation 2</t>
  </si>
  <si>
    <t>SECTION 6</t>
  </si>
  <si>
    <t>Airside Substation 3</t>
  </si>
  <si>
    <t>SECTION 7</t>
  </si>
  <si>
    <t>Airside Substation 4</t>
  </si>
  <si>
    <t>SECTION 8</t>
  </si>
  <si>
    <t>Terminal Building Substation A2</t>
  </si>
  <si>
    <t>SECTION 9</t>
  </si>
  <si>
    <t>Sky Tanking - Fuel Storage Depot MCC</t>
  </si>
  <si>
    <t>SECTION 10</t>
  </si>
  <si>
    <t>Sky Tanking - Forward Fuel Depot MCC</t>
  </si>
  <si>
    <t>SECTION 11</t>
  </si>
  <si>
    <t>General</t>
  </si>
  <si>
    <t xml:space="preserve">SUB-TOTAL </t>
  </si>
  <si>
    <t>Contingency @ 10%</t>
  </si>
  <si>
    <t>ADD</t>
  </si>
  <si>
    <t>VAT @ 15%</t>
  </si>
  <si>
    <t>TOTAL (INCL. VAT)</t>
  </si>
  <si>
    <t>SECTION 1: PRELIMINARIES AND GENERAL</t>
  </si>
  <si>
    <t>ITEM No.</t>
  </si>
  <si>
    <t>UNIT</t>
  </si>
  <si>
    <t>QUANTITY</t>
  </si>
  <si>
    <t xml:space="preserve">RATE </t>
  </si>
  <si>
    <t>REFER TO ATTACHED DOCUMENTS FOR DETAILS:</t>
  </si>
  <si>
    <t>In accordance with the conditions of Contract, provide for all expenses, obligations and general items pertaining to such conditions and all items not specifically specified or mentioned to enable the works to be completed in a satisfactory manner.</t>
  </si>
  <si>
    <t>Fixed Charge Items</t>
  </si>
  <si>
    <t>1.1</t>
  </si>
  <si>
    <t>Sum</t>
  </si>
  <si>
    <t>1.2</t>
  </si>
  <si>
    <t>1.3</t>
  </si>
  <si>
    <t>1.4</t>
  </si>
  <si>
    <t>1.5</t>
  </si>
  <si>
    <t>Preparation of Health &amp; Safety File, attendance of site Health and Safety meetings, and compliance with the Health and Safety Act.</t>
  </si>
  <si>
    <t>1.6</t>
  </si>
  <si>
    <t>1.7</t>
  </si>
  <si>
    <t>Provision of barricades, danger tape, warning signs, First Aid Kits etc.</t>
  </si>
  <si>
    <t>1.8</t>
  </si>
  <si>
    <t>1.9</t>
  </si>
  <si>
    <t>1.10</t>
  </si>
  <si>
    <t>As-builts: Three sets of electronic and hard copies of "As- built" drawings, test certificates, operating and maintenance manuals and Commissioning report to be submitted to Engineer on hand-over.</t>
  </si>
  <si>
    <t>Cleaning/Site Rehab of site upon completion, including de-establishment</t>
  </si>
  <si>
    <t>Time Related Items</t>
  </si>
  <si>
    <t>Months</t>
  </si>
  <si>
    <t>Provision of Full time Health &amp; Safety Officer for duration of contract (SACPCMP registered)</t>
  </si>
  <si>
    <t>TOTAL CARRIED TO SUMMARY PAGE (EXCL VAT)</t>
  </si>
  <si>
    <t>SECTION 2: SOLAR PV / BATTERY SYSTEM</t>
  </si>
  <si>
    <t>A</t>
  </si>
  <si>
    <t>B</t>
  </si>
  <si>
    <t>C</t>
  </si>
  <si>
    <t>D</t>
  </si>
  <si>
    <t>E</t>
  </si>
  <si>
    <t>F</t>
  </si>
  <si>
    <t>G</t>
  </si>
  <si>
    <t>H</t>
  </si>
  <si>
    <t>I</t>
  </si>
  <si>
    <t>J</t>
  </si>
  <si>
    <t>K</t>
  </si>
  <si>
    <t>SUPPLY RATE (COST)</t>
  </si>
  <si>
    <t>MARK UP %</t>
  </si>
  <si>
    <t>SUPPLY RATE (MARKED UP)</t>
  </si>
  <si>
    <t>Install Rate</t>
  </si>
  <si>
    <t xml:space="preserve">INSTALL RATE (Marked up) </t>
  </si>
  <si>
    <t>LABOUR TOTAL</t>
  </si>
  <si>
    <t xml:space="preserve"> RATE                     (E+H)</t>
  </si>
  <si>
    <t>TOTAL                    (BxJ)</t>
  </si>
  <si>
    <t>INVERTERS, SOLAR PV MODULES, BATTERIES, AC EQUIPMENT &amp; CABLING</t>
  </si>
  <si>
    <t>2.1</t>
  </si>
  <si>
    <t>Solar PV Panels</t>
  </si>
  <si>
    <t>2.1.2</t>
  </si>
  <si>
    <t>L block Old -Supply, Deliver, Install, Test &amp; Commission 550W Canadian Solar Super High Power Mono PERC or Equivalent to Engineer's approval. Inclusive of earthing &amp; bonding complete</t>
  </si>
  <si>
    <t>ea</t>
  </si>
  <si>
    <t>2.2</t>
  </si>
  <si>
    <t>Inverters</t>
  </si>
  <si>
    <t>2.2.2</t>
  </si>
  <si>
    <t>L Block Old-Supply, Deliver, Install, Test &amp; Commission 50kW 3P Sunsynk hybrid inverter</t>
  </si>
  <si>
    <t>No.</t>
  </si>
  <si>
    <t>Automatic Transfer Switch (ATS)</t>
  </si>
  <si>
    <t>2.3.2</t>
  </si>
  <si>
    <t>L Block Old Supply, Deliver, Install, Test &amp; Commission Changeover Switch</t>
  </si>
  <si>
    <t>2.3.3</t>
  </si>
  <si>
    <t>L Block Old Supply, Deliver, Install, Test &amp; Commission Elum SD Genset controller</t>
  </si>
  <si>
    <t>Battery System</t>
  </si>
  <si>
    <t>2.4.1</t>
  </si>
  <si>
    <t>L Block Old-Supply, Deliver, Install, Test &amp; Commission Lithium Batteries to provide backup. 200/160 HV</t>
  </si>
  <si>
    <t>2.4.4</t>
  </si>
  <si>
    <t>Supply, Deliver, Install, Test &amp; Commission Fuse Disconnectors with 250A fuses for Battery</t>
  </si>
  <si>
    <t>Mounting Structure, Clamps &amp; Walkways</t>
  </si>
  <si>
    <t>2.5.1</t>
  </si>
  <si>
    <t>Mounting Structures. Material to be aluminium and must include a  10 year warranty</t>
  </si>
  <si>
    <t>Cable Support/Wireways etc. Material to be galvanized steel</t>
  </si>
  <si>
    <t>DC Cabling</t>
  </si>
  <si>
    <t>2.6.1</t>
  </si>
  <si>
    <t>4mmsq Solar PV DC cables from panels to DC combiner box.  Red cable for positive (+) and Black cable for negative (-) to SANS10142-1.  UV resistant to EN50618 &amp; TUV certified. Including MC4 connectors complete</t>
  </si>
  <si>
    <t>m</t>
  </si>
  <si>
    <t>2.6.2</t>
  </si>
  <si>
    <t>70mm2 Single core DC cable for Batteries</t>
  </si>
  <si>
    <t>2.6.3</t>
  </si>
  <si>
    <t>50mm2 Single core DC cable for Batteries</t>
  </si>
  <si>
    <t>25mm2 Single core DC cable for Batteries</t>
  </si>
  <si>
    <t>DC Combiner Box</t>
  </si>
  <si>
    <t>2.7.1</t>
  </si>
  <si>
    <t>DC Combiner Box including the ffg components: 1000V rating, 1 X MPPT, 8 Inputs &amp; 1 Output, 160A Isolator, Type 1 &amp; 2 Surge Protection device, Inclusive of fuses.</t>
  </si>
  <si>
    <t>2.7.2</t>
  </si>
  <si>
    <t>DC Combiner Box including the ffg components: 1000V rating, 4 X MPPT, 8 Inputs &amp; 8 Output, 160A Isolator, Type 1 &amp; 2 Surge Protection device, Inclusive of fuses.</t>
  </si>
  <si>
    <t>Circuit Breakers</t>
  </si>
  <si>
    <t>2.8.1</t>
  </si>
  <si>
    <t>Supply, Deliver, Install new 400V, 200A, 6kA, 3P,adjustable MCCB</t>
  </si>
  <si>
    <t>2.8.2</t>
  </si>
  <si>
    <t>Supply, Deliver, Install new 400V, 150A, 6kA, 4P, adjustable MCCB</t>
  </si>
  <si>
    <t>2.8.3</t>
  </si>
  <si>
    <t>Supply, Deliver, Install new 400V, 80A, 6kA, 3P, MCB</t>
  </si>
  <si>
    <t>2.8.4</t>
  </si>
  <si>
    <t>Supply, Deliver, Install new 400V, 80A, 4P N/O Contactor</t>
  </si>
  <si>
    <t>Distribution Boards</t>
  </si>
  <si>
    <t>2.9.1</t>
  </si>
  <si>
    <t xml:space="preserve">Supply, Deliver, Install new 8-way LV Distribution Board </t>
  </si>
  <si>
    <t>2.9.2</t>
  </si>
  <si>
    <t xml:space="preserve">Supply, Deliver, Install new 16-way LV Distribution Board </t>
  </si>
  <si>
    <t>2.9.3</t>
  </si>
  <si>
    <t>Supply, Deliver, Install Surge Arrestor Din 3 Pole+Neutral 20kA 1.3kV type 1 &amp; 2</t>
  </si>
  <si>
    <t>2.9.4</t>
  </si>
  <si>
    <t>Supply, Deliver, Install new 300/5A, 10VA Current transformers as required to integrate the new system</t>
  </si>
  <si>
    <t>2.9.5</t>
  </si>
  <si>
    <t>Supply, Deliver, Install &amp; Terminate 7C, 4mm control cable between CT's and Inverter</t>
  </si>
  <si>
    <t>2.9.6</t>
  </si>
  <si>
    <t xml:space="preserve">Disconnect &amp; Remove existing equipment as per scope of works </t>
  </si>
  <si>
    <t>Steel Stand for Equipment</t>
  </si>
  <si>
    <t>2.10.1</t>
  </si>
  <si>
    <t>Fabricate &amp; Install galvanized steel stand for new Inverter. Dimensions: 1200 x 800 x 300mm (L X B X H)</t>
  </si>
  <si>
    <t>2.10.2</t>
  </si>
  <si>
    <t>Fabricate &amp; Install galvanized steel stand for new ATS. Dimensions: 700 x 500 x 300mm (L X B X H)</t>
  </si>
  <si>
    <t>AC CABLING</t>
  </si>
  <si>
    <t>Supply, Deliver, Install &amp; Test LV ECC CABLES (4 Core Cu PVC/SWA/PVC)</t>
  </si>
  <si>
    <t>Laid in ground or Clamped to cable ladder or cable tray with K clamps at 1500mm spacing or to manufacturers recommendations. Type: Aberdare, Africa Cables or equal and approved by Engineer</t>
  </si>
  <si>
    <t>2.11.1</t>
  </si>
  <si>
    <t>70 mm²   4-core</t>
  </si>
  <si>
    <t>2.11.2</t>
  </si>
  <si>
    <t>50 mm²   4-core</t>
  </si>
  <si>
    <t>2.11.3</t>
  </si>
  <si>
    <t>35 mm²   4-core</t>
  </si>
  <si>
    <t>2.11.4</t>
  </si>
  <si>
    <t>25 mm²   4-core</t>
  </si>
  <si>
    <t>2.11.5</t>
  </si>
  <si>
    <t>16 mm²   4-core</t>
  </si>
  <si>
    <t>2.11.6</t>
  </si>
  <si>
    <t>10 mm²   4-core</t>
  </si>
  <si>
    <t xml:space="preserve">GENERAL PURPOSE WIRE </t>
  </si>
  <si>
    <t>2.12.1</t>
  </si>
  <si>
    <t>35 mm²  GPW</t>
  </si>
  <si>
    <t>16 mm²  GPW</t>
  </si>
  <si>
    <t>6 mm²  GPW</t>
  </si>
  <si>
    <t>SURFIX</t>
  </si>
  <si>
    <t>2.13.1</t>
  </si>
  <si>
    <t>1.5 mm²  2C + E Surfix</t>
  </si>
  <si>
    <t>2.13.2</t>
  </si>
  <si>
    <t>2.5 mm²  2C + E Surfix</t>
  </si>
  <si>
    <t>2.13.3</t>
  </si>
  <si>
    <t>4 mm²  2C + E Surfix</t>
  </si>
  <si>
    <t>CABLE TERMINATIONS (1, or 4 Core Cu PVC/SWA/PVC or Flexible)</t>
  </si>
  <si>
    <t>Cable terminations complete with compatible glands, lugs and shrouds to suite cable type to SABS requirements &amp; Specifications:</t>
  </si>
  <si>
    <t>2.14.1</t>
  </si>
  <si>
    <t>2.14.2</t>
  </si>
  <si>
    <t>70 mm²   1-core</t>
  </si>
  <si>
    <t>2.14.3</t>
  </si>
  <si>
    <t>2.14.4</t>
  </si>
  <si>
    <t>2.14.5</t>
  </si>
  <si>
    <t>2.14.6</t>
  </si>
  <si>
    <t>2.14.7</t>
  </si>
  <si>
    <t>2.14.8</t>
  </si>
  <si>
    <t xml:space="preserve">35 mm²   1-core </t>
  </si>
  <si>
    <t>2.14.9</t>
  </si>
  <si>
    <t>25 mm²   1-core</t>
  </si>
  <si>
    <t>2.14.10</t>
  </si>
  <si>
    <t>16 mm²  1-core</t>
  </si>
  <si>
    <t>2.14.11</t>
  </si>
  <si>
    <t>10 mm²   1-core</t>
  </si>
  <si>
    <t xml:space="preserve">INSULATED COPPER EARTH WIRE </t>
  </si>
  <si>
    <t>Black insulated stranded copper earth wire strapped to cable at 2000mm centres with PVC cable ties or approved method:</t>
  </si>
  <si>
    <t>2.15.1</t>
  </si>
  <si>
    <t>35 mm²</t>
  </si>
  <si>
    <t>2.15.2</t>
  </si>
  <si>
    <t>6 mm²</t>
  </si>
  <si>
    <t>COMMUNICATIONS CABLE</t>
  </si>
  <si>
    <t>2.16.1</t>
  </si>
  <si>
    <t>Supply, deliver, Install &amp; terminate CAT 6 communications cable (including connectors) as per scope of work</t>
  </si>
  <si>
    <t>TRENCHING &amp; BACKFILLING</t>
  </si>
  <si>
    <t>Trench depth to be 600mm deep</t>
  </si>
  <si>
    <t>2.17.1</t>
  </si>
  <si>
    <t>Trenching &amp; backfilling of cables in soft pickable soil as per scope of work. Including importing of backfill material as required. Including cable warning tape</t>
  </si>
  <si>
    <t>2.17.2</t>
  </si>
  <si>
    <t>Trenching &amp; backfilling of cables in hard rock as per scope of work. Including importing of backfill material as required. Including cable warning tape</t>
  </si>
  <si>
    <t>2.17.3</t>
  </si>
  <si>
    <t>Supply &amp; Install 50mm diameter PVC sleeves  including bends and connectors</t>
  </si>
  <si>
    <t>2.17.4</t>
  </si>
  <si>
    <t>Re-instatement of existing concrete surfaces</t>
  </si>
  <si>
    <t>Tree cutting &amp; trimming</t>
  </si>
  <si>
    <t>2.18.1</t>
  </si>
  <si>
    <t>Tree cutting &amp; trimming as required</t>
  </si>
  <si>
    <t>Lighting Protection System</t>
  </si>
  <si>
    <t>2.19.1</t>
  </si>
  <si>
    <t xml:space="preserve">Design, Supply, Test &amp; Install Lighting Protection System by Specialist </t>
  </si>
  <si>
    <t>Earthing System</t>
  </si>
  <si>
    <t>2.20.1</t>
  </si>
  <si>
    <t xml:space="preserve">Design, Supply, Test &amp; Install Earthing System by Specialist </t>
  </si>
  <si>
    <t>Cerificate of Compliance</t>
  </si>
  <si>
    <t>2.21.1</t>
  </si>
  <si>
    <t>Issuing of CoC for new system as per SANS 10142-1</t>
  </si>
  <si>
    <t>2.21.2</t>
  </si>
  <si>
    <t>Provisional Sum for rectification of existing defects in order to issue CoC</t>
  </si>
  <si>
    <t>SUNDRY ITEMS</t>
  </si>
  <si>
    <t>2.22.1</t>
  </si>
  <si>
    <t>All items such as bolts, nuts, mounting screws, scruits midget, connector blocks, cable ties, cable/tray clamps etc. to provide a fully functional and compliant system</t>
  </si>
  <si>
    <t>Carried to summary</t>
  </si>
  <si>
    <t>L Block Old-Supply, Deliver, Install, Test &amp; Commission Lithium Batteries to provide backup. 100/80 HV</t>
  </si>
  <si>
    <t>L block New -Supply, Deliver, Install, Test &amp; Commission 550W Canadian Solar Super High Power Mono PERC or Equivalent to Engineer's approval. Inclusive of earthing &amp; bonding complete</t>
  </si>
  <si>
    <t>L Block New-Supply, Deliver, Install, Test &amp; Commission 50kW 3P Sunsynk hybrid inverter</t>
  </si>
  <si>
    <t>L Block New Supply, Deliver, Install, Test &amp; Commission Changeover Switch</t>
  </si>
  <si>
    <t>L Block New-Supply, Deliver, Install, Test &amp; Commission Lithium Batteries to provide backup. 200/160 HV</t>
  </si>
  <si>
    <t>L Block New-Supply, Deliver, Install, Test &amp; Commission Lithium Batteries to provide backup. 100/80 HV</t>
  </si>
  <si>
    <t>2.1.3</t>
  </si>
  <si>
    <t>N block -Supply, Deliver, Install, Test &amp; Commission 550W Canadian Solar Super High Power Mono PERC or Equivalent to Engineer's approval. Inclusive of earthing &amp; bonding complete</t>
  </si>
  <si>
    <t>N Block -Supply, Deliver, Install, Test &amp; Commission 5kW 1P Sunsynk hybrid inverter</t>
  </si>
  <si>
    <t>N Block Supply, Deliver, Install, Test &amp; Commission Changeover Switch</t>
  </si>
  <si>
    <t>N Block Supply, Deliver, Install, Test &amp; Commission Elum SD Genset controller</t>
  </si>
  <si>
    <t>N Block -Supply, Deliver, Install, Test &amp; Commission Lithium Batteries to provide backup. 15/12 LV</t>
  </si>
  <si>
    <t>2.13.4</t>
  </si>
  <si>
    <t>6 mm²  2C + E Surfix</t>
  </si>
  <si>
    <t>6 mm²   1-core</t>
  </si>
  <si>
    <t xml:space="preserve">Tree cutting &amp; trimming as required </t>
  </si>
  <si>
    <t>N Block -Supply, Deliver, Install, Test &amp; Commission Lithium Batteries to provide backup. 10/8 LV</t>
  </si>
  <si>
    <t>SECTION 2: MSP LV Switchroom</t>
  </si>
  <si>
    <t>ITEM 
No.</t>
  </si>
  <si>
    <t>Supplementary Preamble</t>
  </si>
  <si>
    <t>The following items must be priced in strict accordance with the technical specification document and the applicable drawings</t>
  </si>
  <si>
    <t xml:space="preserve">The Contractor must provide a guarantee period of 36 months on all equipment &amp; materials, starting from date of final commissioning </t>
  </si>
  <si>
    <t>Power Quality Study</t>
  </si>
  <si>
    <t xml:space="preserve">SUPPLY 
RATE </t>
  </si>
  <si>
    <t xml:space="preserve">INSTALL RATE </t>
  </si>
  <si>
    <t xml:space="preserve"> RATE                     (C+D)</t>
  </si>
  <si>
    <t>TOTAL                    (BxE)</t>
  </si>
  <si>
    <t>Conduct a comprehensive Power Quality Study at the Main Incomer to the MSP LV Switchroom. Power Quality Meter to be used is to be Class-A with high resolution sampling. The metering exercise is to be conducted for a period of 7 days. A detailed report should be provided on completion of the measurement excercise. This PQ Study will be done to confirm the sizing of the new PFC equipment.</t>
  </si>
  <si>
    <t>Conduct a comprehensive Power Quality Study at the Main Incomer to the MSP LV Switchroom. Power Quality Meter to be used is to be Class-A with high resolution sampling. The metering exercise is to be conducted for a period of 7 days. A detailed report should be provided on completion of the measurement excercise. This PQ Study will be done post installation of the new PFC equipment, and is for the evaluation of the performance of the new PFC equipment</t>
  </si>
  <si>
    <t>Power Factor Correction Equipment
If multiple units are to be installed in parallel, all items required to provide such functionality are to be fully priced for</t>
  </si>
  <si>
    <t>Supply, Deliver, Rig, Install, Test &amp; Commission a dynamic 300kVAr, 400V Power Factor Correction (PFC) equipment - Static VAr Generator type, to provide stepless PF correction and Harmonic mitigation. PFC switching mechanism is to be via  IGBT switching (To Engineers approval). PFC equipment to fully comply with Technical specification.</t>
  </si>
  <si>
    <t>each</t>
  </si>
  <si>
    <t>Provide a rate only for the Supply, Deliver, Rig, Install, Test &amp; Commission a dynamic 250kVAr, 400V Power Factor Correction (PFC) equipment - Static VAr Generator type, to provide stepless PF correction and Harmonic mitigation. PFC switching mechanism is to be via  IGBT switching (To Engineers approval). PFC equipment to fully comply with Technical specification.</t>
  </si>
  <si>
    <t>Rate Only</t>
  </si>
  <si>
    <t>Provide a rate only for the Supply, Deliver, Rig, Install, Test &amp; Commission a dynamic 200kVAr, 400V Power Factor Correction (PFC) equipment - Static VAr Generator type, to provide stepless PF correction and Harmonic mitigation. PFC switching mechanism is to be via  IGBT switching (To Engineers approval). PFC equipment to fully comply with Technical specification.</t>
  </si>
  <si>
    <t>Provide a rate only for the Supply, Deliver, Rig, Install, Test &amp; Commission a dynamic 150kVAr, 400V Power Factor Correction (PFC) equipment - Static VAr Generator type, to provide stepless PF correction and Harmonic mitigation. PFC switching mechanism is to be via  IGBT switching (To Engineers approval). PFC equipment to fully comply with Technical specification.</t>
  </si>
  <si>
    <t>Metering &amp; Control Equipment</t>
  </si>
  <si>
    <t>Provide a rate only -Supply, Deliver, Install &amp; Test 200/5A Split Core Current Transformers suitable for use with proposed PFC equipment as per OEM guidelines</t>
  </si>
  <si>
    <t>Rate only</t>
  </si>
  <si>
    <t>Provide a rate only -Supply, Deliver, Install &amp; Test 400/5A Split Core Current Transformers suitable for use with proposed PFC equipment as per OEM guidelines</t>
  </si>
  <si>
    <t>Supply, Deliver, Install &amp; Test 600/5A Split Core Current Transformers suitable for use with proposed PFC equipment as per OEM guidelines</t>
  </si>
  <si>
    <t>Supply, Deliver &amp; Install a 13-way GEC Test Block</t>
  </si>
  <si>
    <t xml:space="preserve">Supply, Deliver, Install &amp; Commission a fixed Power Quality Analyzer (Elspec G4420 or equivalent to Engineer's approval). To be installed onto existing LV panel, inclusive of all modifications required to the existing panel. The pricing is to be inclusive of the following:
- Current Transformers
- Wiring
- Clips and connectors
- Components required for remote communication with the meter/analyzer
- Software required to access and analyze the recorded data (3 year license to be included in price)
</t>
  </si>
  <si>
    <t xml:space="preserve">Supply, Deliver, Install &amp; Commission a fixed Power Quality Analyzer (Elspec G4420 or equivalent to Engineer's approval). To be installed onto existing LV panel, inclusive of all modifications required to the existing panel. The pricing is to be inclusive of the following:
- Current Transformers
- Wiring
- Clips and connectors
- Components required for remote communication with the meter/analyzer
- Software required to access and analyze the recorded data (3 year license to be included in price)
Provisional item for installation at the 11kV Main Intakes
</t>
  </si>
  <si>
    <t>Switchgear (LV) &amp; Accessories</t>
  </si>
  <si>
    <t>Provide a rate only for - Supply, Deliver, Install, Test &amp; Commission 200A, 50kA 3P MCCB with Electronic Trip Unit. To be installed into existing LV Panel. Inclusive of rotary handle mechanism</t>
  </si>
  <si>
    <t>Provide a rate only for - Supply, Deliver, Install, Test &amp; Commission 400A, 50kA 3P MCCB with Electronic Trip Unit. To be installed into existing LV Panel. Inclusive of rotary handle mechanism</t>
  </si>
  <si>
    <t>Supply, Deliver, Install, Test &amp; Commission 600A, 50kA 3P MCCB with Electronic Trip Unit. To be installed into existing LV Panel. Inclusive of rotary handle mechanism</t>
  </si>
  <si>
    <t>Modifications to the existing LV panel to install new MCCB</t>
  </si>
  <si>
    <t>Cabling</t>
  </si>
  <si>
    <t>Quantities are re-measurable
Supply, Deliver &amp; Test &amp; Install the following cables &amp; accesories:</t>
  </si>
  <si>
    <t>AC Cables - Supply, Deliver, Install &amp; Test LV ECC CABLES (4 Core Cu PVC/SWA/PVC)</t>
  </si>
  <si>
    <t>Clamped to cable ladder or cable tray with K clamps at 1500mm spacing or to manufacturers recommendations. Type: Aberdare, Africa Cables or equal and approved by Engineer</t>
  </si>
  <si>
    <t>5.2.1</t>
  </si>
  <si>
    <t>95 mm²   4-core</t>
  </si>
  <si>
    <t>5.2.2</t>
  </si>
  <si>
    <t>70 mm²   4-core rate only</t>
  </si>
  <si>
    <t>5.2.3</t>
  </si>
  <si>
    <t>70 mm²  1-Core Cu Earth Cable</t>
  </si>
  <si>
    <t>Control Cable</t>
  </si>
  <si>
    <t>Supply, Deliver, Install &amp; Test  Control Cable</t>
  </si>
  <si>
    <t>5.3.1</t>
  </si>
  <si>
    <t>4 mm²  7-Core Control cable for CT signals to PFC &amp; PFC to Generator</t>
  </si>
  <si>
    <t>Cable Terminations</t>
  </si>
  <si>
    <t>Supply, Deliver &amp; Install Cable Terminations</t>
  </si>
  <si>
    <t>5.4.1</t>
  </si>
  <si>
    <t>5.4.2</t>
  </si>
  <si>
    <t>5.4.3</t>
  </si>
  <si>
    <t>5.4.4</t>
  </si>
  <si>
    <t>4 mm²   7-core</t>
  </si>
  <si>
    <t>SCADA</t>
  </si>
  <si>
    <t>5.5.1</t>
  </si>
  <si>
    <t>5.5.2</t>
  </si>
  <si>
    <t>Connect the new PFC equipment to the existing SCADA system. Inclusive of all new hardware and components</t>
  </si>
  <si>
    <t>Cable Containment, Accessories &amp; Support Structures</t>
  </si>
  <si>
    <t>Supply, Deliver &amp; Install the following cable accessories &amp; support structures</t>
  </si>
  <si>
    <t>5.6.1</t>
  </si>
  <si>
    <t>25mm PVC Conduit inclusive of joins, bends, saddles, couplings, etc.</t>
  </si>
  <si>
    <t>5.6.2</t>
  </si>
  <si>
    <t>25mm Sprague PVC inclusive of bends, couplings, etc.</t>
  </si>
  <si>
    <t>5.6.3</t>
  </si>
  <si>
    <t>Trunking 100mmx40mm per meter with end caps</t>
  </si>
  <si>
    <t>5.6.4</t>
  </si>
  <si>
    <t>150mm Galvanized Heavy Duty Perforated Cable Tray inclusive of covers, mounting accessories, hangers, brackets, etc.</t>
  </si>
  <si>
    <t>5.6.5</t>
  </si>
  <si>
    <t>100mm Wire mesh Cable tray inclusive of covers, mounting accessories, hangers, brackets, etc.</t>
  </si>
  <si>
    <t>5.6.6</t>
  </si>
  <si>
    <t xml:space="preserve">P8000 Galvanized Trunking including all mounting accessories, end caps, hangers, brackets etc. </t>
  </si>
  <si>
    <t>Testing &amp; Commissioning</t>
  </si>
  <si>
    <t xml:space="preserve">Perform Factory Acceptance Test (FAT) in line with OEM recommendations. Inclusive of travel, accomodation &amp; subsistence for 2 x ACSA representatives &amp; 2 x Engineers representatives </t>
  </si>
  <si>
    <t>Perform Site Acceptance Test (SAT) in accordance with OEM recommendations</t>
  </si>
  <si>
    <t>Issuing of CoC for new installation</t>
  </si>
  <si>
    <t>Thermal infrared scanning of all new cable connections. Report to be submitted.</t>
  </si>
  <si>
    <t>Decommissioning of Existing Equipment</t>
  </si>
  <si>
    <t>Carried to the Summary page (Exclusive VAT)</t>
  </si>
  <si>
    <t>SECTION 3: ATC LV Switchroom</t>
  </si>
  <si>
    <t>ITEM
No.</t>
  </si>
  <si>
    <t xml:space="preserve">SUPPLY RATE </t>
  </si>
  <si>
    <t>Conduct a comprehensive Power Quality Study at the Main Incomer to the ATC LV Switchroom. Power Quality Meter to be used is to be Class-A with high resolution sampling. The metering exercise is to be conducted for a period of 7 days. A detailed report should be provided on completion of the measurement excercise. This PQ Study will be done to confirm the sizing of the new PFC equipment.</t>
  </si>
  <si>
    <t>Conduct a comprehensive Power Quality Study at the Main Incomer to the ATC LV Switchroom. Power Quality Meter to be used is to be Class-A with high resolution sampling. The metering exercise is to be conducted for a period of 7 days. A detailed report should be provided on completion of the measurement excercise. This PQ Study will be done post installation of the new PFC equipment, and is for the evaluation of the performance of the new PFC equipment</t>
  </si>
  <si>
    <t>Each</t>
  </si>
  <si>
    <t>Supply, Deliver, Install &amp; Commission a fixed Power Quality Analyzer (Elspec G4420 or equivalent to Engineer's approval). To be installed onto existing LV panel, inclusive of all modifications required to the existing panel. The pricing is to be inclusive of the following:
- Current Transformers
- Wiring
- Clips and connectors
- Components required for remote communication with the meter/analyzer
- Software required to access and analyze the recorded data (3 year license to be included in price)</t>
  </si>
  <si>
    <t>4 mm²  7-Core Control cable for CT signals to PFC</t>
  </si>
  <si>
    <t>5.5.3</t>
  </si>
  <si>
    <t>5.5.4</t>
  </si>
  <si>
    <t>5.7.1</t>
  </si>
  <si>
    <t>5.7.2</t>
  </si>
  <si>
    <t>5.7.3</t>
  </si>
  <si>
    <t>5.7.4</t>
  </si>
  <si>
    <t>5.7.5</t>
  </si>
  <si>
    <t>5.7.6</t>
  </si>
  <si>
    <t>SECTION 4: Airside Substation 1</t>
  </si>
  <si>
    <t>Conduct a comprehensive Power Quality Study at the Main Incomer to the Airside SS 1 LV Switchroom. Power Quality Meter to be used is to be Class-A with high resolution sampling. The metering exercise is to be conducted for a period of 7 days. A detailed report should be provided on completion of the measurement excercise. This PQ Study will be done to confirm the sizing of the new PFC equipment.</t>
  </si>
  <si>
    <t>Conduct a comprehensive Power Quality Study at the Main Incomer to the Airside SS 1 LV Switchroom. Power Quality Meter to be used is to be Class-A with high resolution sampling. The metering exercise is to be conducted for a period of 7 days. A detailed report should be provided on completion of the measurement excercise. This PQ Study will be done post installation of the new PFC equipment, and is for the evaluation of the performance of the new PFC equipment</t>
  </si>
  <si>
    <t>Supply, Deliver, Rig, Install, Test &amp; Commission a dynamic 200kVAr, 400V Power Factor Correction (PFC) equipment - Static VAr Generator type, to provide stepless PF correction and Harmonic mitigation. PFC switching mechanism is to be via  IGBT switching (To Engineers approval). PFC equipment to fully comply with Technical specification.Installed on Airside Substation 1 LV DB to achieve total compensation of 400kVAr</t>
  </si>
  <si>
    <t>Provide a rate only for the Supply, Deliver, Rig, Install, Test &amp; Commission a dynamic 300kVAr, 400V Power Factor Correction (PFC) equipment - Static VAr Generator type, to provide stepless PF correction and Harmonic mitigation. PFC switching mechanism is to be via  IGBT switching (To Engineers approval). PFC equipment to fully comply with Technical specification.</t>
  </si>
  <si>
    <t>Supply, Deliver, Install &amp; Test 400/5A Split Core Current Transformers suitable for use with proposed PFC equipment as per OEM guidelines</t>
  </si>
  <si>
    <t>Provide a rate only -Supply, Deliver, Install &amp; Test 800/5A Split Core Current Transformers suitable for use with proposed PFC equipment as per OEM guidelines</t>
  </si>
  <si>
    <t>Provide a rate only -Supply, Deliver, Install &amp; Test 600/5A Split Core Current Transformers suitable for use with proposed PFC equipment as per OEM guidelines</t>
  </si>
  <si>
    <t>Supply, Deliver, Install, Test &amp; Commission 400A, 50kA 3P MCCB with Electronic Trip Unit. To be installed into existing LV Panel. Inclusive of rotary handle mechanism</t>
  </si>
  <si>
    <t>Provide a rate only for - Supply, Deliver, Install, Test &amp; Commission 600A, 50kA 3P MCCB with Electronic Trip Unit. To be installed into existing LV Panel. Inclusive of rotary handle mechanism</t>
  </si>
  <si>
    <t>Supply, Deliver, Install, Test &amp; Commission 800A, 50kA 3P MCCB with Electronic Trip Unit. To be installed into existing LV Panel. Inclusive of rotary handle mechanism</t>
  </si>
  <si>
    <t>70 mm²   4-core - rate only</t>
  </si>
  <si>
    <t>SECTION 5: Airside Substation 2</t>
  </si>
  <si>
    <t>Conduct a comprehensive Power Quality Study at the Main Incomer to the Airside SS 2 LV Switchroom. Power Quality Meter to be used is to be Class-A with high resolution sampling. The metering exercise is to be conducted for a period of 7 days. A detailed report should be provided on completion of the measurement excercise. This PQ Study will be done to confirm the sizing of the new PFC equipment.</t>
  </si>
  <si>
    <t>Conduct a comprehensive Power Quality Study at the Main Incomer to the Airside SS 2 LV Switchroom. Power Quality Meter to be used is to be Class-A with high resolution sampling. The metering exercise is to be conducted for a period of 7 days. A detailed report should be provided on completion of the measurement excercise. This PQ Study will be done post installation of the new PFC equipment, and is for the evaluation of the performance of the new PFC equipment</t>
  </si>
  <si>
    <t>Supply, Deliver, Rig, Install, Test &amp; Commission a dynamic 100kVAr, 400V Power Factor Correction (PFC) equipment - Static VAr Generator type, to provide stepless PF correction and Harmonic mitigation. PFC switching mechanism is to be via  IGBT switching (To Engineers approval). PFC equipment to fully comply with Technical specification.</t>
  </si>
  <si>
    <t>Provide a rate only for the Supply, Deliver, Rig, Install, Test &amp; Commission a dynamic 50kVAr, 400V Power Factor Correction (PFC) equipment - Static VAr Generator type, to provide stepless PF correction and Harmonic mitigation. PFC switching mechanism is to be via  IGBT switching (To Engineers approval). PFC equipment to fully comply with Technical specification.</t>
  </si>
  <si>
    <t>Provide rate only for - Supply, Deliver, Install &amp; Test 100/5A Split Core Current Transformers suitable for use with proposed PFC equipment as per OEM guidelines</t>
  </si>
  <si>
    <t>Supply, Deliver, Install &amp; Test 200/5A Split Core Current Transformers suitable for use with proposed PFC equipment as per OEM guidelines</t>
  </si>
  <si>
    <t>Supply, Deliver, Install, Test &amp; Commission 200A, 50kA 3P MCCB with Electronic Trip Unit. To be installed into existing LV Panel. Inclusive of rotary handle mechanism</t>
  </si>
  <si>
    <t>Provide Rate only for - Supply, Deliver, Install, Test &amp; Commission 100A, 50kA 3P MCCB with Electronic Trip Unit. To be installed into existing LV Panel. Inclusive of rotary handle mechanism</t>
  </si>
  <si>
    <t>Carried to the Summary Page (Exclusive VAT)</t>
  </si>
  <si>
    <t>SECTION 6: Airside Substation 3</t>
  </si>
  <si>
    <t>Conduct a comprehensive Power Quality Study at the Main Incomer to the Airside SS 3 LV Switchroom. Power Quality Meter to be used is to be Class-A with high resolution sampling. The metering exercise is to be conducted for a period of 7 days. A detailed report should be provided on completion of the measurement excercise. This PQ Study will be done to confirm the sizing of the new PFC equipment.</t>
  </si>
  <si>
    <t>Conduct a comprehensive Power Quality Study at the Main Incomer to the Airside SS 3 LV Switchroom. Power Quality Meter to be used is to be Class-A with high resolution sampling. The metering exercise is to be conducted for a period of 7 days. A detailed report should be provided on completion of the measurement excercise. This PQ Study will be done post installation of the new PFC equipment, and is for the evaluation of the performance of the new PFC equipment</t>
  </si>
  <si>
    <t>Provide a rate only for - Supply, Deliver, Install &amp; Test 100/5A Split Core Current Transformers suitable for use with proposed PFC equipment as per OEM guidelines</t>
  </si>
  <si>
    <t>SECTION 7: Airside Substation 4</t>
  </si>
  <si>
    <t>Conduct a comprehensive Power Quality Study at the Main Incomer to the Airside SS 4 LV Switchroom. Power Quality Meter to be used is to be Class-A with high resolution sampling. The metering exercise is to be conducted for a period of 7 days. A detailed report should be provided on completion of the measurement excercise. This PQ Study will be done to confirm the sizing of the new PFC equipment.</t>
  </si>
  <si>
    <t>Conduct a comprehensive Power Quality Study at the Main Incomer to the Airside SS 4 LV Switchroom. Power Quality Meter to be used is to be Class-A with high resolution sampling. The metering exercise is to be conducted for a period of 7 days. A detailed report should be provided on completion of the measurement excercise. This PQ Study will be done post installation of the new PFC equipment, and is for the evaluation of the performance of the new PFC equipment</t>
  </si>
  <si>
    <t>Supply, Deliver, Rig, Install, Test &amp; Commission a dynamic 200kVAr, 400V Power Factor Correction (PFC) equipment - Static VAr Generator type, to provide stepless PF correction and Harmonic mitigation. PFC switching mechanism is to be via  IGBT switching (To Engineers approval). PFC equipment to fully comply with Technical specification.  Installed on Airside Substation 4 LV DB to achieve total compensation of 400kVAr</t>
  </si>
  <si>
    <t xml:space="preserve">Supply, Deliver, Install &amp; Commission a fixed Power Quality Analyzer (Elspec G4420 or equivalent to Engineer's approval). To be installed onto existing LV panel, inclusive of all modifications required to the existing panel. The pricing is to be inclusive of the following:
- Current Transformers
- Wiring
- Clips and connectors
- Components required for remote communication with the meter/analyzer
- Software required to access and analyze the recorded data (3 year license to be included in price)
</t>
  </si>
  <si>
    <t>50 mm²   4-core - rate only</t>
  </si>
  <si>
    <t>5.2.4</t>
  </si>
  <si>
    <t>25 mm²   4-core - rate only</t>
  </si>
  <si>
    <t>5.2.5</t>
  </si>
  <si>
    <t>5.4.5</t>
  </si>
  <si>
    <t>5.4.6</t>
  </si>
  <si>
    <t>SECTION 8: Terminal Building Substation A2</t>
  </si>
  <si>
    <t>Conduct a comprehensive Power Quality Study at Incomer 1 on the Terminal Building SS A2. Power Quality Meter to be used is to be Class-A with high resolution sampling. The metering exercise is to be conducted for a period of 7 days. A detailed report should be provided on completion of the measurement excercise. This PQ Study will be done to confirm the sizing of the new PFC equipment.</t>
  </si>
  <si>
    <t>Conduct a comprehensive Power Quality Study at  Incomer 1 to the Terminal Building SS A2. Power Quality Meter to be used is to be Class-A with high resolution sampling. The metering exercise is to be conducted for a period of 7 days. A detailed report should be provided on completion of the measurement excercise. This PQ Study will be done post installation of the new PFC equipment, and is for the evaluation of the performance of the new PFC equipment</t>
  </si>
  <si>
    <t>Conduct a comprehensive Power Quality Study at Incomer 2 on the Terminal Building SS A2. Power Quality Meter to be used is to be Class-A with high resolution sampling. The metering exercise is to be conducted for a period of 7 days. A detailed report should be provided on completion of the measurement excercise. This PQ Study will be done to confirm the sizing of the new PFC equipment.</t>
  </si>
  <si>
    <t>Conduct a comprehensive Power Quality Study at Incomer 2 to the Terminal Building SS A2. Power Quality Meter to be used is to be Class-A with high resolution sampling. The metering exercise is to be conducted for a period of 7 days. A detailed report should be provided on completion of the measurement excercise. This PQ Study will be done post installation of the new PFC equipment, and is for the evaluation of the performance of the new PFC equipment</t>
  </si>
  <si>
    <t>Conduct a comprehensive Power Quality Study at the Emergency section on the Terminal Building SS A2. Power Quality Meter to be used is to be Class-A with high resolution sampling. The metering exercise is to be conducted for a period of 7 days. A detailed report should be provided on completion of the measurement excercise. This PQ Study will be done to confirm the sizing of the new PFC equipment.</t>
  </si>
  <si>
    <t>Conduct a comprehensive Power Quality Study at the Emergency Section on the Terminal Building SS A2. Power Quality Meter to be used is to be Class-A with high resolution sampling. The metering exercise is to be conducted for a period of 7 days. A detailed report should be provided on completion of the measurement excercise. This PQ Study will be done post installation of the new PFC equipment, and is for the evaluation of the performance of the new PFC equipment</t>
  </si>
  <si>
    <t>Supply, Deliver, Rig, Install, Test &amp; Commission a dynamic 300kVAr, 400V Power Factor Correction (PFC) equipment - Static VAr Generator type, to provide stepless PF correction and Harmonic mitigation. PFC switching mechanism is to be via  IGBT switching (To Engineers approval). PFC equipment to fully comply with Technical specification. Installed on Incomer 1 Section to achieve total compensation of 1200kVAr</t>
  </si>
  <si>
    <t>Provide a rate only for the Supply, Deliver, Rig, Install, Test &amp; Commission a dynamic 1000kVAr, 400V Power Factor Correction (PFC) equipment - Static VAr Generator type, to provide stepless PF correction and Harmonic mitigation. PFC switching mechanism is to be via  IGBT switching (To Engineers approval). PFC equipment to fully comply with Technical specification.</t>
  </si>
  <si>
    <t>Provide a rate only for the Supply, Deliver, Rig, Install, Test &amp; Commission a dynamic 800kVAr, 400V Power Factor Correction (PFC) equipment - Static VAr Generator type, to provide stepless PF correction and Harmonic mitigation. PFC switching mechanism is to be via  IGBT switching (To Engineers approval). PFC equipment to fully comply with Technical specification.</t>
  </si>
  <si>
    <t>Provide a rate only for the Supply, Deliver, Rig, Install, Test &amp; Commission a dynamic 600kVAr, 400V Power Factor Correction (PFC) equipment - Static VAr Generator type, to provide stepless PF correction and Harmonic mitigation. PFC switching mechanism is to be via  IGBT switching (To Engineers approval). PFC equipment to fully comply with Technical specification.</t>
  </si>
  <si>
    <t>Supply, Deliver, Rig, Install, Test &amp; Commission a dynamic 300kVAr, 400V Power Factor Correction (PFC) equipment - Static VAr Generator type, to provide stepless PF correction and Harmonic mitigation. PFC switching mechanism is to be via  IGBT switching (To Engineers approval). PFC equipment to fully comply with Technical specification. Installed on Incomer 2 Section  to achieve total compensation of 1200kVAr</t>
  </si>
  <si>
    <t>Supply, Deliver, Rig, Install, Test &amp; Commission a dynamic 200kVAr, 400V Power Factor Correction (PFC) equipment - Static VAr Generator type, to provide stepless PF correction and Harmonic mitigation. PFC switching mechanism is to be via  IGBT switching (To Engineers approval). PFC equipment to fully comply with Technical specification. Installed on the Emergency Section to achieve total compensation of 400kVAr</t>
  </si>
  <si>
    <t>Provide a rate only -Supply, Deliver, Install &amp; Test 100/5A Split Core Current Transformers suitable for use with proposed PFC equipment as per OEM guidelines</t>
  </si>
  <si>
    <t>Provide a rate only - Supply, Deliver, Install, Test &amp; Commission 200A, 50kA 3P MCCB with Electronic Trip Unit. To be installed into existing LV Panel. Inclusive of rotary handle mechanism</t>
  </si>
  <si>
    <t>Provide a rate only - Supply, Deliver, Install, Test &amp; Commission 100A, 50kA 3P MCCB with Electronic Trip Unit. To be installed into existing LV Panel. Inclusive of rotary handle mechanism</t>
  </si>
  <si>
    <t>SECTION 9 - SKY TANKING FSD</t>
  </si>
  <si>
    <t>Conduct a comprehensive Power Quality Study at the Main Incomer-A to the SKY TANK FSD LV Switchroom. Power Quality Meter to be used is to be Class-A with high resolution sampling. The metering exercise is to be conducted for a period of 7 days. A detailed report should be provided on completion of the measurement excercise. This PQ Study will be done to confirm the sizing of the new PFC equipment.</t>
  </si>
  <si>
    <t>Conduct a comprehensive Power Quality Study at the Main Incomer-B to the SKY TANK FSD LV Switchroom . Power Quality Meter to be used is to be Class-A with high resolution sampling. The metering exercise is to be conducted for a period of 7 days. A detailed report should be provided on completion of the measurement excercise. This PQ Study will be done to confirm the sizing of the new PFC equipment.</t>
  </si>
  <si>
    <t>Conduct a comprehensive Power Quality Study at  Main Incomer-A to the SKY TANK FSD LV Switchroom. Power Quality Meter to be used is to be Class-A with high resolution sampling. The metering exercise is to be conducted for a period of 7 days. A detailed report should be provided on completion of the measurement excercise. This PQ Study will be done post installation of the new PFC equipment, and is for the evaluation of the performance of the new PFC equipment</t>
  </si>
  <si>
    <t>Conduct a comprehensive Power Quality Study at Main Incomer-B to the SKY TANK FSD LV Switchroom. Power Quality Meter to be used is to be Class-A with high resolution sampling. The metering exercise is to be conducted for a period of 7 days. A detailed report should be provided on completion of the measurement excercise. This PQ Study will be done post installation of the new PFC equipment, and is for the evaluation of the performance of the new PFC equipment</t>
  </si>
  <si>
    <t>Supply, Deliver, Rig, Install, Test &amp; Commission a dynamic 200kVAr, 400V Power Factor Correction (PFC) equipment - Static VAr Generator type, to provide stepless PF correction and Harmonic mitigation. PFC switching mechanism is to be via  IGBT switching (To Engineers approval). PFC equipment to fully comply with Technical specification. Installed on Incomer-A DB to achieve total compensation of 400kVAr</t>
  </si>
  <si>
    <t>Supply, Deliver, Rig, Install, Test &amp; Commission a dynamic 200kVAr, 400V Power Factor Correction (PFC) equipment - Static VAr Generator type, to provide stepless PF correction and Harmonic mitigation. PFC switching mechanism is to be via  IGBT switching (To Engineers approval). PFC equipment to fully comply with Technical specification. Installed on Incomer-B DB to achieve total compensation of 400kVAr</t>
  </si>
  <si>
    <t>Supply, Deliver, Install &amp; Test 800/5A Split Core Current Transformers suitable for use with proposed PFC equipment as per OEM guidelines</t>
  </si>
  <si>
    <t>Supply, Deliver, Install &amp; Test 2500/5A Split Core Current Transformers suitable for use with proposed PFC equipment as per OEM guidelines</t>
  </si>
  <si>
    <t>Provide a rate only for - Supply, Deliver, Install, Test &amp; Commission 100A, 50kA 3P MCCB with Electronic Trip Unit. To be installed into existing LV Panel. Inclusive of rotary handle mechanism</t>
  </si>
  <si>
    <t>SECTION 10: Sky Tanking Forward Fuel Depot</t>
  </si>
  <si>
    <t>Conduct a comprehensive Power Quality Study at the Main Incomer to the SKY TANK FFD LV Switchroom. Power Quality Meter to be used is to be Class-A with high resolution sampling. The metering exercise is to be conducted for a period of 7 days. A detailed report should be provided on completion of the measurement excercise. This PQ Study will be done to confirm the sizing of the new PFC equipment.</t>
  </si>
  <si>
    <t>Conduct a comprehensive Power Quality Study at the Main Incomer to the SKY TANK FFD LV Switchroom. Power Quality Meter to be used is to be Class-A with high resolution sampling. The metering exercise is to be conducted for a period of 7 days. A detailed report should be provided on completion of the measurement excercise. This PQ Study will be done post installation of the new PFC equipment, and is for the evaluation of the performance of the new PFC equipment</t>
  </si>
  <si>
    <t>70 mm²   4-core - Rate only</t>
  </si>
  <si>
    <t>Provisional Sum</t>
  </si>
  <si>
    <t>NW block -Supply, Deliver, Install, Test &amp; Commission 550W Canadian Solar Super High Power Mono PERC or Equivalent to Engineer's approval. Inclusive of earthing &amp; bonding complete</t>
  </si>
  <si>
    <t>NW Block -Supply, Deliver, Install, Test &amp; Commission 12kW 3P Sunsynk hybrid inverter</t>
  </si>
  <si>
    <t>NW Block Supply, Deliver, Install, Test &amp; Commission Changeover Switch</t>
  </si>
  <si>
    <t>NW Block Supply, Deliver, Install, Test &amp; Commission Elum SD Genset controller</t>
  </si>
  <si>
    <t>NW Block -Supply, Deliver, Install, Test &amp; Commission Lithium Batteries to provide backup. 80/64 LV</t>
  </si>
  <si>
    <t>NW Block -Supply, Deliver, Install, Test &amp; Commission Lithium Batteries to provide backup. 30/24 LV</t>
  </si>
  <si>
    <t>D block -Supply, Deliver, Install, Test &amp; Commission 550W Canadian Solar Super High Power Mono PERC or Equivalent to Engineer's approval. Inclusive of earthing &amp; bonding complete</t>
  </si>
  <si>
    <t>D Block -Supply, Deliver, Install, Test &amp; Commission 15kW 3P BME hybrid inverter</t>
  </si>
  <si>
    <t>D Block Supply, Deliver, Install, Test &amp; Commission Changeover Switch</t>
  </si>
  <si>
    <t>D Block Supply, Deliver, Install, Test &amp; Commission Elum SD Genset controller</t>
  </si>
  <si>
    <t>D Block -Supply, Deliver, Install, Test &amp; Commission Lithium Batteries to provide backup. 60/48</t>
  </si>
  <si>
    <t>D Block -Supply, Deliver, Install, Test &amp; Commission Lithium Batteries to provide backup. 80/64 LV</t>
  </si>
  <si>
    <t>C block -Supply, Deliver, Install, Test &amp; Commission 550W Canadian Solar Super High Power Mono PERC or Equivalent to Engineer's approval. Inclusive of earthing &amp; bonding complete</t>
  </si>
  <si>
    <t>C Block -Supply, Deliver, Install, Test &amp; Commission 150kW 3P ATESS hybrid inverter</t>
  </si>
  <si>
    <t>C Block Supply, Deliver, Install, Test &amp; Commission ATESS ATS</t>
  </si>
  <si>
    <t>C Block Supply, Deliver, Install, Test &amp; Commission Elum SD Genset controller</t>
  </si>
  <si>
    <t>C Block -Supply, Deliver, Install, Test &amp; Commission Lithium Batteries to provide backup. 200/160 HV</t>
  </si>
  <si>
    <t>DC Combiner Box including the ffg components: 1000V rating, 1 X MPPT, 16 Inputs &amp; 1 Output, 160A Isolator, Type 1 &amp; 2 Surge Protection device, Inclusive of fuses.</t>
  </si>
  <si>
    <t>Supply, Deliver, Install new AC protection box 125A</t>
  </si>
  <si>
    <t>Supply, Deliver, Install new AC Panel for loads (ATS out)</t>
  </si>
  <si>
    <t>sum</t>
  </si>
  <si>
    <t>95 mm²   1-core</t>
  </si>
  <si>
    <t>OE block -Supply, Deliver, Install, Test &amp; Commission 550W Canadian Solar Super High Power Mono PERC or Equivalent to Engineer's approval. Inclusive of earthing &amp; bonding complete</t>
  </si>
  <si>
    <t>OE Block -Supply, Deliver, Install, Test &amp; Commission 12kW 3P Sunsynk hybrid inverter</t>
  </si>
  <si>
    <t>OE Block Supply, Deliver, Install, Test &amp; Commission 4P ATS 100A</t>
  </si>
  <si>
    <t>OE Block Supply, Deliver, Install, Test &amp; Commission Elum SD Genset controller</t>
  </si>
  <si>
    <t>OE Block -Supply, Deliver, Install, Test &amp; Commission Lithium Batteries to provide backup. 20/16 LV</t>
  </si>
  <si>
    <t>OE Block -Supply, Deliver, Install, Test &amp; Commission Lithium Batteries to provide backup. 30/24 LV</t>
  </si>
  <si>
    <t>OE Block -Supply, Deliver, Install, Test &amp; Commission Lithium Batteries to provide backup. 60/48 LV</t>
  </si>
  <si>
    <t>DC Combiner Box including the ffg components: 1000V rating, 2X MPPT, 2 Inputs &amp; 2 Output, 25A Isolator, Type 1 &amp; 2 Surge Protection device, Inclusive of fuses.</t>
  </si>
  <si>
    <t>50 mm²   1-core</t>
  </si>
  <si>
    <t>OE Block -Supply, Deliver, Install, Test &amp; Commission Lithium Batteries to provide backup. 80/64 LV</t>
  </si>
  <si>
    <t>OE Block -Supply, Deliver, Install, Test &amp; Commission Lithium Batteries to provide backup. 15/12 LV</t>
  </si>
  <si>
    <t xml:space="preserve">Travelling and Transportation costs </t>
  </si>
  <si>
    <t>Training of employer’s staff (30 persons). Training to encompass full Operation &amp; Maintenance procedures &amp; activities</t>
  </si>
  <si>
    <t>SECTION 11: Main Intake existing MV Power Factor Correction</t>
  </si>
  <si>
    <t>Site camp establishment including fencing, clearing the area and project Notice Board</t>
  </si>
  <si>
    <t>Contractors Design conducted by Electrical Engineer (ECSA registered)</t>
  </si>
  <si>
    <t>Provisional sum for ACSA safety inductions for access, permits and parking</t>
  </si>
  <si>
    <t>Provision of security guards (24 hours per day, 7 days a week)</t>
  </si>
  <si>
    <t>Office and storage sheds/containers and Ablutions</t>
  </si>
  <si>
    <t>Contract skills development goal (CSDG) @ 0.25%</t>
  </si>
  <si>
    <t>TOTAL  (Excl.VAT)</t>
  </si>
  <si>
    <t>Decommission and Discard existing PFC and Accessories in accordance with ACSA disposal policies and avail safe disposal certificates</t>
  </si>
  <si>
    <t>Thermal infrared scanning of all new cable connections. Report to be submitted in an acceptable reporting format</t>
  </si>
  <si>
    <t>Decommission and Discard existing PFC and Accessories in accordance with ACSA disposal policies and avail safe disposal certificates. The existing MV PFC comprises the following:
- PFC Feeder A: 2 x banks of 3000kVAr
- PFC Feeder B: 2 x banks of 3000kVAr</t>
  </si>
  <si>
    <t>Conduct a comprehensive Power Quality Study at the 2 x 11kV Main Incomers to the Airport. Power Quality Meter to be used is to be Class-A with high resolution sampling. The metering exercise is to be conducted for a period of 14 days. A detailed report should be provided on completion of the measurement excercise. Existing MV PFC is to be switched during the measurement excercise.This PQ Study will be done to gauge the impact of the existing MV PFC.</t>
  </si>
  <si>
    <t xml:space="preserve">The Contractor must provide a guarantee period of 24 months against latent or obvious defects and non-conformance on all equipment &amp; materials, starting from date of final commissioning </t>
  </si>
  <si>
    <t>TOTAL EXCL VAT</t>
  </si>
  <si>
    <t>The Bill of Quantities (BoQ) shall be submitted in PRINTED PDF format, duly completed, signed  and shall form part of the NEC3 Engineering and Construction Contract (ECC).</t>
  </si>
  <si>
    <t xml:space="preserve">
BIDDING ENTITY/COMPANY : ___________________________________________
SIGNATURE (Duly Authorised) : __________________________________________       
DATE:  _______________
NAME: ____________________________________________________</t>
  </si>
  <si>
    <r>
      <rPr>
        <sz val="11"/>
        <color rgb="FFFF0000"/>
        <rFont val="Arial"/>
        <family val="2"/>
      </rPr>
      <t>The Bill of Quantities (BoQ) shall be submitted in PRINTED PDF format, duly completed, signed  and shall form part of the NEC3 Engineering and Construction Contract (ECC)</t>
    </r>
    <r>
      <rPr>
        <sz val="11"/>
        <rFont val="Arial"/>
        <family val="2"/>
      </rPr>
      <t>.</t>
    </r>
  </si>
  <si>
    <t xml:space="preserve">
BIDDING ENTITY/COMPANY : ___________________________________________
SIGNATURE (Duly Authorised) : __________________________________________       
DATE:  _______________
NAME: ____________________________________________________</t>
  </si>
  <si>
    <t>Provisional sum for network analysis, capacity analysis and 11kV alternative feeder application from the nearest eThekwini municipality supply to the Airport and Mount Moreland Community. Professional services are required for ECSA stages 1 - 4, this includes all the necessary travelling costs and tests where necessary. Timeline to complete this portion of the scope is 12 months or less.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</si>
</sst>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R&quot;* #,##0.00_-;\-&quot;R&quot;* #,##0.00_-;_-&quot;R&quot;* &quot;-&quot;??_-;_-@_-"/>
    <numFmt numFmtId="164" formatCode="_(&quot;R&quot;* #,##0.00_);_(&quot;R&quot;* \(#,##0.00\);_(&quot;R&quot;* &quot;-&quot;??_);_(@_)"/>
    <numFmt numFmtId="165" formatCode="&quot;R&quot;#,##0.00"/>
    <numFmt numFmtId="166" formatCode="_ &quot;R&quot;\ * #,##0.00_ ;_ &quot;R&quot;\ * \-#,##0.00_ ;_ &quot;R&quot;\ * &quot;-&quot;??_ ;_ @_ "/>
    <numFmt numFmtId="167" formatCode="0.0"/>
    <numFmt numFmtId="168" formatCode="_ &quot;R&quot;\ * #,##0.00_ ;_ &quot;R&quot;\ * \-#,##0.00_ ;_ &quot;R&quot;\ * &quot;-&quot;_ ;_ @_ "/>
    <numFmt numFmtId="169" formatCode="[$R-1C09]\ #,##0.00"/>
    <numFmt numFmtId="170" formatCode="_ * #,##0.00_ ;_ * \-#,##0.00_ ;_ * &quot;-&quot;??_ ;_ @_ "/>
    <numFmt numFmtId="171" formatCode="&quot;R&quot;#,##0.0"/>
    <numFmt numFmtId="172" formatCode="#,##0.0"/>
    <numFmt numFmtId="173" formatCode="_-&quot;£&quot;* #,##0_-;\-&quot;£&quot;* #,##0_-;_-&quot;£&quot;* &quot;-&quot;_-;_-@_-"/>
  </numFmts>
  <fonts count="28" x14ac:knownFonts="1">
    <font>
      <sz val="10"/>
      <name val="Arial"/>
    </font>
    <font>
      <sz val="11"/>
      <color theme="1"/>
      <name val="Calibri"/>
      <family val="2"/>
      <scheme val="minor"/>
    </font>
    <font>
      <sz val="10"/>
      <name val="Arial"/>
      <family val="2"/>
    </font>
    <font>
      <sz val="10"/>
      <name val="Arial"/>
      <family val="2"/>
    </font>
    <font>
      <b/>
      <sz val="11"/>
      <name val="Arial"/>
      <family val="2"/>
    </font>
    <font>
      <sz val="11"/>
      <name val="Arial"/>
      <family val="2"/>
    </font>
    <font>
      <b/>
      <u/>
      <sz val="11"/>
      <name val="Arial"/>
      <family val="2"/>
    </font>
    <font>
      <sz val="12"/>
      <name val="Arial"/>
      <family val="2"/>
    </font>
    <font>
      <b/>
      <sz val="12"/>
      <name val="Arial"/>
      <family val="2"/>
    </font>
    <font>
      <sz val="11"/>
      <color indexed="8"/>
      <name val="Calibri"/>
      <family val="2"/>
    </font>
    <font>
      <sz val="12"/>
      <name val="Times New Roman"/>
      <family val="1"/>
    </font>
    <font>
      <sz val="11"/>
      <color indexed="8"/>
      <name val="Arial"/>
      <family val="2"/>
    </font>
    <font>
      <b/>
      <sz val="11"/>
      <color indexed="8"/>
      <name val="Arial"/>
      <family val="2"/>
    </font>
    <font>
      <b/>
      <u/>
      <sz val="11"/>
      <color indexed="8"/>
      <name val="Arial"/>
      <family val="2"/>
    </font>
    <font>
      <b/>
      <i/>
      <sz val="11"/>
      <name val="Arial"/>
      <family val="2"/>
    </font>
    <font>
      <b/>
      <sz val="10"/>
      <name val="Arial"/>
      <family val="2"/>
    </font>
    <font>
      <sz val="10"/>
      <color theme="1"/>
      <name val="Arial"/>
      <family val="2"/>
    </font>
    <font>
      <sz val="11"/>
      <color theme="1"/>
      <name val="Arial"/>
      <family val="2"/>
    </font>
    <font>
      <b/>
      <sz val="11"/>
      <color theme="1"/>
      <name val="Arial"/>
      <family val="2"/>
    </font>
    <font>
      <sz val="12"/>
      <color theme="1"/>
      <name val="Arial"/>
      <family val="2"/>
    </font>
    <font>
      <b/>
      <u/>
      <sz val="11"/>
      <color theme="1"/>
      <name val="Arial"/>
      <family val="2"/>
    </font>
    <font>
      <i/>
      <sz val="8"/>
      <color theme="1"/>
      <name val="Helvetica"/>
      <family val="2"/>
    </font>
    <font>
      <sz val="10"/>
      <color rgb="FF000000"/>
      <name val="Segoe UI"/>
      <family val="2"/>
    </font>
    <font>
      <b/>
      <sz val="11"/>
      <color rgb="FFFF0000"/>
      <name val="Arial"/>
      <family val="2"/>
    </font>
    <font>
      <b/>
      <sz val="10"/>
      <color rgb="FFFF0000"/>
      <name val="Arial"/>
      <family val="2"/>
    </font>
    <font>
      <sz val="8"/>
      <name val="Arial"/>
      <family val="2"/>
    </font>
    <font>
      <sz val="11"/>
      <color rgb="FFFF0000"/>
      <name val="Arial"/>
      <family val="2"/>
    </font>
    <font>
      <sz val="10"/>
      <color rgb="FFFF0000"/>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4.9989318521683403E-2"/>
        <bgColor indexed="64"/>
      </patternFill>
    </fill>
  </fills>
  <borders count="76">
    <border>
      <left/>
      <right/>
      <top/>
      <bottom/>
      <diagonal/>
    </border>
    <border>
      <left style="thin">
        <color indexed="64"/>
      </left>
      <right style="thin">
        <color indexed="64"/>
      </right>
      <top/>
      <bottom/>
      <diagonal/>
    </border>
    <border>
      <left/>
      <right/>
      <top style="double">
        <color indexed="64"/>
      </top>
      <bottom style="double">
        <color indexed="64"/>
      </bottom>
      <diagonal/>
    </border>
    <border>
      <left style="thin">
        <color indexed="64"/>
      </left>
      <right style="thin">
        <color indexed="64"/>
      </right>
      <top/>
      <bottom style="thin">
        <color indexed="64"/>
      </bottom>
      <diagonal/>
    </border>
    <border>
      <left/>
      <right style="thin">
        <color indexed="64"/>
      </right>
      <top style="double">
        <color indexed="64"/>
      </top>
      <bottom style="double">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indexed="64"/>
      </left>
      <right style="thin">
        <color indexed="64"/>
      </right>
      <top/>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diagonal/>
    </border>
    <border>
      <left style="double">
        <color indexed="64"/>
      </left>
      <right/>
      <top/>
      <bottom style="thin">
        <color indexed="64"/>
      </bottom>
      <diagonal/>
    </border>
    <border>
      <left/>
      <right style="thin">
        <color indexed="64"/>
      </right>
      <top style="hair">
        <color indexed="64"/>
      </top>
      <bottom style="hair">
        <color indexed="64"/>
      </bottom>
      <diagonal/>
    </border>
    <border>
      <left style="thin">
        <color indexed="64"/>
      </left>
      <right style="thin">
        <color indexed="64"/>
      </right>
      <top style="medium">
        <color indexed="64"/>
      </top>
      <bottom style="hair">
        <color indexed="64"/>
      </bottom>
      <diagonal/>
    </border>
    <border>
      <left style="double">
        <color indexed="64"/>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double">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double">
        <color indexed="64"/>
      </top>
      <bottom style="double">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s>
  <cellStyleXfs count="14">
    <xf numFmtId="0" fontId="0" fillId="0" borderId="0"/>
    <xf numFmtId="0" fontId="3" fillId="0" borderId="0"/>
    <xf numFmtId="173" fontId="3" fillId="0" borderId="0"/>
    <xf numFmtId="166" fontId="10" fillId="0" borderId="0">
      <alignment vertical="center"/>
    </xf>
    <xf numFmtId="0" fontId="3" fillId="0" borderId="0"/>
    <xf numFmtId="0" fontId="3" fillId="0" borderId="0"/>
    <xf numFmtId="0" fontId="16" fillId="0" borderId="0"/>
    <xf numFmtId="0" fontId="3" fillId="0" borderId="0"/>
    <xf numFmtId="0" fontId="9" fillId="0" borderId="0"/>
    <xf numFmtId="0" fontId="3" fillId="0" borderId="0"/>
    <xf numFmtId="0" fontId="3" fillId="0" borderId="0"/>
    <xf numFmtId="0" fontId="1" fillId="0" borderId="0"/>
    <xf numFmtId="0" fontId="3" fillId="0" borderId="0"/>
    <xf numFmtId="0" fontId="3" fillId="0" borderId="0"/>
  </cellStyleXfs>
  <cellXfs count="646">
    <xf numFmtId="0" fontId="0" fillId="0" borderId="0" xfId="0"/>
    <xf numFmtId="0" fontId="5" fillId="0" borderId="1" xfId="0" applyFont="1" applyBorder="1" applyAlignment="1">
      <alignment horizontal="center"/>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7" fillId="0" borderId="0" xfId="0" applyFont="1" applyAlignment="1">
      <alignment horizontal="center"/>
    </xf>
    <xf numFmtId="0" fontId="4" fillId="0" borderId="3" xfId="0" applyFont="1" applyBorder="1" applyAlignment="1">
      <alignment horizontal="center"/>
    </xf>
    <xf numFmtId="0" fontId="5" fillId="0" borderId="5" xfId="0" applyFont="1" applyBorder="1" applyAlignment="1">
      <alignment horizontal="center"/>
    </xf>
    <xf numFmtId="0" fontId="5" fillId="0" borderId="6" xfId="0" applyFont="1" applyBorder="1" applyAlignment="1">
      <alignment horizontal="center" wrapText="1"/>
    </xf>
    <xf numFmtId="0" fontId="0" fillId="0" borderId="0" xfId="0" applyAlignment="1">
      <alignment horizontal="center"/>
    </xf>
    <xf numFmtId="0" fontId="5" fillId="2" borderId="0" xfId="5" applyFont="1" applyFill="1"/>
    <xf numFmtId="0" fontId="5" fillId="2" borderId="0" xfId="5" applyFont="1" applyFill="1" applyAlignment="1">
      <alignment horizontal="left" vertical="top" wrapText="1"/>
    </xf>
    <xf numFmtId="0" fontId="5" fillId="2" borderId="0" xfId="5" applyFont="1" applyFill="1" applyAlignment="1">
      <alignment horizontal="center" vertical="top"/>
    </xf>
    <xf numFmtId="0" fontId="5" fillId="2" borderId="19" xfId="5" applyFont="1" applyFill="1" applyBorder="1" applyAlignment="1">
      <alignment horizontal="center" vertical="center" wrapText="1"/>
    </xf>
    <xf numFmtId="0" fontId="5" fillId="2" borderId="1" xfId="5" applyFont="1" applyFill="1" applyBorder="1" applyAlignment="1">
      <alignment horizontal="center" vertical="center" wrapText="1"/>
    </xf>
    <xf numFmtId="0" fontId="5" fillId="2" borderId="6" xfId="5" applyFont="1" applyFill="1" applyBorder="1" applyAlignment="1">
      <alignment horizontal="left" vertical="center" wrapText="1"/>
    </xf>
    <xf numFmtId="0" fontId="4" fillId="2" borderId="10" xfId="5" applyFont="1" applyFill="1" applyBorder="1" applyAlignment="1">
      <alignment horizontal="left" vertical="center" wrapText="1"/>
    </xf>
    <xf numFmtId="0" fontId="5" fillId="2" borderId="14" xfId="5" applyFont="1" applyFill="1" applyBorder="1" applyAlignment="1">
      <alignment horizontal="center" vertical="center" wrapText="1"/>
    </xf>
    <xf numFmtId="0" fontId="4" fillId="2" borderId="20" xfId="5" applyFont="1" applyFill="1" applyBorder="1" applyAlignment="1">
      <alignment horizontal="center" vertical="center" wrapText="1"/>
    </xf>
    <xf numFmtId="0" fontId="14" fillId="2" borderId="21" xfId="5" applyFont="1" applyFill="1" applyBorder="1" applyAlignment="1">
      <alignment vertical="center"/>
    </xf>
    <xf numFmtId="0" fontId="4" fillId="2" borderId="22" xfId="5" applyFont="1" applyFill="1" applyBorder="1" applyAlignment="1">
      <alignment horizontal="center" vertical="center"/>
    </xf>
    <xf numFmtId="0" fontId="5" fillId="2" borderId="6" xfId="5" applyFont="1" applyFill="1" applyBorder="1" applyAlignment="1">
      <alignment horizontal="center" vertical="center" wrapText="1"/>
    </xf>
    <xf numFmtId="0" fontId="5" fillId="2" borderId="0" xfId="5" applyFont="1" applyFill="1" applyAlignment="1">
      <alignment horizontal="left" vertical="center" wrapText="1"/>
    </xf>
    <xf numFmtId="0" fontId="5" fillId="0" borderId="0" xfId="5" applyFont="1" applyAlignment="1">
      <alignment horizontal="center" vertical="top" wrapText="1"/>
    </xf>
    <xf numFmtId="0" fontId="5" fillId="0" borderId="0" xfId="5" applyFont="1" applyAlignment="1">
      <alignment horizontal="left" vertical="top" wrapText="1"/>
    </xf>
    <xf numFmtId="0" fontId="5" fillId="0" borderId="0" xfId="5" applyFont="1" applyAlignment="1">
      <alignment horizontal="center" vertical="top"/>
    </xf>
    <xf numFmtId="0" fontId="4" fillId="0" borderId="2" xfId="0" applyFont="1" applyBorder="1" applyAlignment="1">
      <alignment horizontal="center"/>
    </xf>
    <xf numFmtId="0" fontId="4" fillId="0" borderId="29" xfId="0" applyFont="1" applyBorder="1" applyAlignment="1">
      <alignment horizontal="center"/>
    </xf>
    <xf numFmtId="3" fontId="5" fillId="0" borderId="18" xfId="4" applyNumberFormat="1" applyFont="1" applyBorder="1" applyAlignment="1">
      <alignment horizontal="center" vertical="center"/>
    </xf>
    <xf numFmtId="0" fontId="5" fillId="0" borderId="1" xfId="0" applyFont="1" applyBorder="1" applyAlignment="1">
      <alignment horizontal="center" vertical="center"/>
    </xf>
    <xf numFmtId="3" fontId="5" fillId="0" borderId="6" xfId="4" applyNumberFormat="1" applyFont="1" applyBorder="1" applyAlignment="1">
      <alignment horizontal="center" vertical="center"/>
    </xf>
    <xf numFmtId="0" fontId="5" fillId="0" borderId="6" xfId="0" applyFont="1" applyBorder="1" applyAlignment="1">
      <alignment horizontal="center" vertical="center"/>
    </xf>
    <xf numFmtId="0" fontId="7"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4" fontId="5" fillId="0" borderId="6" xfId="0" applyNumberFormat="1" applyFont="1" applyBorder="1" applyAlignment="1">
      <alignment horizontal="center"/>
    </xf>
    <xf numFmtId="4" fontId="5" fillId="0" borderId="6" xfId="0" applyNumberFormat="1" applyFont="1" applyBorder="1" applyAlignment="1">
      <alignment horizontal="center" wrapText="1"/>
    </xf>
    <xf numFmtId="4" fontId="5" fillId="0" borderId="6" xfId="0" applyNumberFormat="1" applyFont="1" applyBorder="1" applyAlignment="1">
      <alignment horizontal="center" vertical="center"/>
    </xf>
    <xf numFmtId="4" fontId="5" fillId="0" borderId="6" xfId="0" applyNumberFormat="1" applyFont="1" applyBorder="1" applyAlignment="1">
      <alignment horizontal="center" vertical="center" wrapText="1"/>
    </xf>
    <xf numFmtId="0" fontId="4" fillId="0" borderId="23" xfId="0" applyFont="1" applyBorder="1" applyAlignment="1">
      <alignment horizontal="center" wrapText="1"/>
    </xf>
    <xf numFmtId="10" fontId="5" fillId="0" borderId="6" xfId="0" applyNumberFormat="1" applyFont="1" applyBorder="1" applyAlignment="1">
      <alignment horizontal="center"/>
    </xf>
    <xf numFmtId="10" fontId="5" fillId="0" borderId="6" xfId="0" applyNumberFormat="1" applyFont="1" applyBorder="1" applyAlignment="1">
      <alignment horizontal="center" vertical="center" wrapText="1"/>
    </xf>
    <xf numFmtId="0" fontId="18" fillId="0" borderId="2" xfId="0" applyFont="1" applyBorder="1" applyAlignment="1">
      <alignment horizontal="left" wrapText="1"/>
    </xf>
    <xf numFmtId="0" fontId="18" fillId="0" borderId="3" xfId="0" applyFont="1" applyBorder="1" applyAlignment="1">
      <alignment horizontal="left" wrapText="1"/>
    </xf>
    <xf numFmtId="0" fontId="16" fillId="0" borderId="0" xfId="0" applyFont="1" applyAlignment="1">
      <alignment wrapText="1"/>
    </xf>
    <xf numFmtId="0" fontId="4" fillId="0" borderId="0" xfId="5" applyFont="1" applyAlignment="1">
      <alignment horizontal="center" vertical="top"/>
    </xf>
    <xf numFmtId="0" fontId="5" fillId="0" borderId="3" xfId="0" applyFont="1" applyBorder="1" applyAlignment="1">
      <alignment horizontal="center"/>
    </xf>
    <xf numFmtId="10" fontId="5" fillId="0" borderId="23" xfId="0" applyNumberFormat="1" applyFont="1" applyBorder="1" applyAlignment="1">
      <alignment horizontal="center"/>
    </xf>
    <xf numFmtId="0" fontId="5" fillId="0" borderId="15" xfId="0" applyFont="1" applyBorder="1" applyAlignment="1">
      <alignment horizontal="center" vertical="center"/>
    </xf>
    <xf numFmtId="0" fontId="5" fillId="0" borderId="14" xfId="0" applyFont="1" applyBorder="1" applyAlignment="1">
      <alignment horizontal="center"/>
    </xf>
    <xf numFmtId="4" fontId="5" fillId="0" borderId="15" xfId="0" applyNumberFormat="1" applyFont="1" applyBorder="1" applyAlignment="1">
      <alignment horizontal="center"/>
    </xf>
    <xf numFmtId="10" fontId="5" fillId="0" borderId="15" xfId="0" applyNumberFormat="1" applyFont="1" applyBorder="1" applyAlignment="1">
      <alignment horizontal="center"/>
    </xf>
    <xf numFmtId="4" fontId="5" fillId="3" borderId="0" xfId="0" applyNumberFormat="1" applyFont="1" applyFill="1" applyAlignment="1">
      <alignment horizontal="center"/>
    </xf>
    <xf numFmtId="10" fontId="5" fillId="3" borderId="0" xfId="0" applyNumberFormat="1" applyFont="1" applyFill="1" applyAlignment="1">
      <alignment horizontal="center"/>
    </xf>
    <xf numFmtId="0" fontId="5" fillId="3" borderId="45" xfId="0" applyFont="1" applyFill="1" applyBorder="1" applyAlignment="1">
      <alignment horizontal="center"/>
    </xf>
    <xf numFmtId="4" fontId="5" fillId="3" borderId="45" xfId="0" applyNumberFormat="1" applyFont="1" applyFill="1" applyBorder="1" applyAlignment="1">
      <alignment horizontal="center"/>
    </xf>
    <xf numFmtId="10" fontId="5" fillId="3" borderId="45" xfId="0" applyNumberFormat="1" applyFont="1" applyFill="1" applyBorder="1" applyAlignment="1">
      <alignment horizontal="center"/>
    </xf>
    <xf numFmtId="0" fontId="4" fillId="3" borderId="45" xfId="0" applyFont="1" applyFill="1" applyBorder="1" applyAlignment="1">
      <alignment horizontal="center"/>
    </xf>
    <xf numFmtId="0" fontId="5" fillId="3" borderId="47" xfId="0" applyFont="1" applyFill="1" applyBorder="1" applyAlignment="1">
      <alignment horizontal="center" vertical="center"/>
    </xf>
    <xf numFmtId="0" fontId="5" fillId="3" borderId="47" xfId="0" applyFont="1" applyFill="1" applyBorder="1" applyAlignment="1">
      <alignment horizontal="center"/>
    </xf>
    <xf numFmtId="0" fontId="4" fillId="3" borderId="24" xfId="0" applyFont="1" applyFill="1" applyBorder="1" applyAlignment="1">
      <alignment horizontal="center"/>
    </xf>
    <xf numFmtId="0" fontId="5" fillId="3" borderId="24" xfId="0" applyFont="1" applyFill="1" applyBorder="1" applyAlignment="1">
      <alignment horizontal="center"/>
    </xf>
    <xf numFmtId="0" fontId="5" fillId="0" borderId="35" xfId="0" applyFont="1" applyBorder="1" applyAlignment="1">
      <alignment horizontal="center" vertical="center"/>
    </xf>
    <xf numFmtId="0" fontId="5" fillId="0" borderId="35" xfId="0" applyFont="1" applyBorder="1" applyAlignment="1">
      <alignment horizontal="center"/>
    </xf>
    <xf numFmtId="0" fontId="4" fillId="3" borderId="0" xfId="0" applyFont="1" applyFill="1" applyAlignment="1">
      <alignment horizontal="center"/>
    </xf>
    <xf numFmtId="4" fontId="5" fillId="0" borderId="0" xfId="0" applyNumberFormat="1" applyFont="1" applyAlignment="1">
      <alignment horizontal="center" wrapText="1"/>
    </xf>
    <xf numFmtId="0" fontId="5" fillId="0" borderId="15" xfId="0" applyFont="1" applyBorder="1" applyAlignment="1">
      <alignment horizontal="center" vertical="center" wrapText="1"/>
    </xf>
    <xf numFmtId="0" fontId="5" fillId="0" borderId="15" xfId="0" applyFont="1" applyBorder="1" applyAlignment="1">
      <alignment horizontal="center" wrapText="1"/>
    </xf>
    <xf numFmtId="4" fontId="5" fillId="0" borderId="15" xfId="0" applyNumberFormat="1" applyFont="1" applyBorder="1" applyAlignment="1">
      <alignment horizontal="center" wrapText="1"/>
    </xf>
    <xf numFmtId="3" fontId="5" fillId="0" borderId="17" xfId="4" applyNumberFormat="1" applyFont="1" applyBorder="1" applyAlignment="1">
      <alignment horizontal="center" vertical="center"/>
    </xf>
    <xf numFmtId="3" fontId="5" fillId="0" borderId="43" xfId="4" applyNumberFormat="1" applyFont="1" applyBorder="1" applyAlignment="1">
      <alignment horizontal="center" vertical="center"/>
    </xf>
    <xf numFmtId="0" fontId="5" fillId="0" borderId="43" xfId="0" applyFont="1" applyBorder="1" applyAlignment="1">
      <alignment horizontal="center"/>
    </xf>
    <xf numFmtId="4" fontId="5" fillId="0" borderId="43" xfId="0" applyNumberFormat="1" applyFont="1" applyBorder="1" applyAlignment="1">
      <alignment horizontal="center"/>
    </xf>
    <xf numFmtId="10" fontId="5" fillId="0" borderId="43" xfId="0" applyNumberFormat="1" applyFont="1" applyBorder="1" applyAlignment="1">
      <alignment horizontal="center"/>
    </xf>
    <xf numFmtId="3" fontId="5" fillId="3" borderId="45" xfId="4" applyNumberFormat="1" applyFont="1" applyFill="1" applyBorder="1" applyAlignment="1">
      <alignment horizontal="center" vertical="center"/>
    </xf>
    <xf numFmtId="3" fontId="5" fillId="0" borderId="15" xfId="4" applyNumberFormat="1" applyFont="1" applyBorder="1" applyAlignment="1">
      <alignment horizontal="center" vertical="center"/>
    </xf>
    <xf numFmtId="0" fontId="5" fillId="0" borderId="14" xfId="0" applyFont="1" applyBorder="1" applyAlignment="1">
      <alignment horizontal="center" vertical="center"/>
    </xf>
    <xf numFmtId="3" fontId="5" fillId="3" borderId="0" xfId="4" applyNumberFormat="1" applyFont="1" applyFill="1" applyAlignment="1">
      <alignment horizontal="center" vertical="center"/>
    </xf>
    <xf numFmtId="4" fontId="5" fillId="0" borderId="0" xfId="0" applyNumberFormat="1" applyFont="1" applyAlignment="1">
      <alignment horizontal="center"/>
    </xf>
    <xf numFmtId="4" fontId="5" fillId="0" borderId="35" xfId="0" applyNumberFormat="1" applyFont="1" applyBorder="1" applyAlignment="1">
      <alignment horizontal="center"/>
    </xf>
    <xf numFmtId="4" fontId="5" fillId="0" borderId="0" xfId="0" applyNumberFormat="1" applyFont="1" applyAlignment="1">
      <alignment horizontal="center" vertical="center"/>
    </xf>
    <xf numFmtId="0" fontId="4" fillId="0" borderId="23" xfId="0" applyFont="1" applyBorder="1" applyAlignment="1">
      <alignment horizontal="center" vertical="center" wrapText="1"/>
    </xf>
    <xf numFmtId="9" fontId="5" fillId="0" borderId="0" xfId="0" applyNumberFormat="1" applyFont="1" applyAlignment="1">
      <alignment horizontal="center"/>
    </xf>
    <xf numFmtId="9" fontId="5" fillId="0" borderId="35" xfId="0" applyNumberFormat="1" applyFont="1" applyBorder="1" applyAlignment="1">
      <alignment horizontal="center"/>
    </xf>
    <xf numFmtId="0" fontId="5" fillId="0" borderId="15" xfId="0" applyFont="1" applyBorder="1" applyAlignment="1">
      <alignment horizontal="center"/>
    </xf>
    <xf numFmtId="3" fontId="5" fillId="0" borderId="15" xfId="4" applyNumberFormat="1" applyFont="1" applyBorder="1" applyAlignment="1">
      <alignment horizontal="center"/>
    </xf>
    <xf numFmtId="3" fontId="5" fillId="0" borderId="6" xfId="4" applyNumberFormat="1" applyFont="1" applyBorder="1" applyAlignment="1">
      <alignment horizontal="center"/>
    </xf>
    <xf numFmtId="3" fontId="5" fillId="0" borderId="18" xfId="4" applyNumberFormat="1" applyFont="1" applyBorder="1" applyAlignment="1">
      <alignment horizontal="center"/>
    </xf>
    <xf numFmtId="3" fontId="5" fillId="0" borderId="43" xfId="4" applyNumberFormat="1" applyFont="1" applyBorder="1" applyAlignment="1">
      <alignment horizontal="center"/>
    </xf>
    <xf numFmtId="0" fontId="5" fillId="3" borderId="0" xfId="0" applyFont="1" applyFill="1" applyAlignment="1">
      <alignment horizontal="center"/>
    </xf>
    <xf numFmtId="3" fontId="5" fillId="3" borderId="45" xfId="4" applyNumberFormat="1" applyFont="1" applyFill="1" applyBorder="1" applyAlignment="1">
      <alignment horizontal="center"/>
    </xf>
    <xf numFmtId="3" fontId="5" fillId="0" borderId="17" xfId="4" applyNumberFormat="1" applyFont="1" applyBorder="1" applyAlignment="1">
      <alignment horizontal="center"/>
    </xf>
    <xf numFmtId="3" fontId="5" fillId="0" borderId="18" xfId="9" applyNumberFormat="1" applyFont="1" applyBorder="1" applyAlignment="1">
      <alignment horizontal="center"/>
    </xf>
    <xf numFmtId="3" fontId="5" fillId="0" borderId="6" xfId="9" applyNumberFormat="1" applyFont="1" applyBorder="1" applyAlignment="1">
      <alignment horizontal="center"/>
    </xf>
    <xf numFmtId="3" fontId="5" fillId="0" borderId="15" xfId="9" applyNumberFormat="1" applyFont="1" applyBorder="1" applyAlignment="1">
      <alignment horizontal="center"/>
    </xf>
    <xf numFmtId="3" fontId="5" fillId="0" borderId="6" xfId="9" applyNumberFormat="1" applyFont="1" applyBorder="1" applyAlignment="1">
      <alignment horizontal="center" vertical="center"/>
    </xf>
    <xf numFmtId="3" fontId="5" fillId="0" borderId="43" xfId="9" applyNumberFormat="1" applyFont="1" applyBorder="1" applyAlignment="1">
      <alignment horizontal="center" vertical="center"/>
    </xf>
    <xf numFmtId="3" fontId="5" fillId="3" borderId="0" xfId="9" applyNumberFormat="1" applyFont="1" applyFill="1" applyAlignment="1">
      <alignment horizontal="center" vertical="center"/>
    </xf>
    <xf numFmtId="3" fontId="5" fillId="0" borderId="15" xfId="9" applyNumberFormat="1" applyFont="1" applyBorder="1" applyAlignment="1">
      <alignment horizontal="center" vertical="center"/>
    </xf>
    <xf numFmtId="3" fontId="5" fillId="3" borderId="45" xfId="9" applyNumberFormat="1" applyFont="1" applyFill="1" applyBorder="1" applyAlignment="1">
      <alignment horizontal="center" vertical="center"/>
    </xf>
    <xf numFmtId="0" fontId="2" fillId="0" borderId="0" xfId="0" applyFont="1"/>
    <xf numFmtId="0" fontId="2" fillId="0" borderId="0" xfId="0" applyFont="1" applyAlignment="1">
      <alignment horizontal="center"/>
    </xf>
    <xf numFmtId="3" fontId="5" fillId="0" borderId="18" xfId="9" applyNumberFormat="1" applyFont="1" applyBorder="1" applyAlignment="1">
      <alignment horizontal="center" vertical="center"/>
    </xf>
    <xf numFmtId="3" fontId="5" fillId="0" borderId="17" xfId="9" applyNumberFormat="1" applyFont="1" applyBorder="1" applyAlignment="1">
      <alignment horizontal="center" vertical="center"/>
    </xf>
    <xf numFmtId="0" fontId="5" fillId="4" borderId="1" xfId="0" applyFont="1" applyFill="1" applyBorder="1" applyAlignment="1">
      <alignment horizontal="center"/>
    </xf>
    <xf numFmtId="0" fontId="5" fillId="4" borderId="14" xfId="0" applyFont="1" applyFill="1" applyBorder="1" applyAlignment="1">
      <alignment horizontal="center"/>
    </xf>
    <xf numFmtId="0" fontId="5" fillId="5" borderId="1" xfId="0" applyFont="1" applyFill="1" applyBorder="1" applyAlignment="1">
      <alignment horizontal="center"/>
    </xf>
    <xf numFmtId="0" fontId="5" fillId="5" borderId="14" xfId="0" applyFont="1" applyFill="1" applyBorder="1" applyAlignment="1">
      <alignment horizontal="center"/>
    </xf>
    <xf numFmtId="0" fontId="5" fillId="5" borderId="6" xfId="0" applyFont="1" applyFill="1" applyBorder="1" applyAlignment="1">
      <alignment horizontal="center" wrapText="1"/>
    </xf>
    <xf numFmtId="0" fontId="17" fillId="0" borderId="55" xfId="0" applyFont="1" applyBorder="1" applyAlignment="1">
      <alignment horizontal="left" wrapText="1"/>
    </xf>
    <xf numFmtId="0" fontId="5" fillId="0" borderId="55" xfId="0" applyFont="1" applyBorder="1" applyAlignment="1">
      <alignment horizontal="center" vertical="center"/>
    </xf>
    <xf numFmtId="0" fontId="18" fillId="0" borderId="55" xfId="0" applyFont="1" applyBorder="1" applyAlignment="1">
      <alignment horizontal="left" wrapText="1"/>
    </xf>
    <xf numFmtId="0" fontId="4" fillId="0" borderId="55" xfId="0" applyFont="1" applyBorder="1" applyAlignment="1">
      <alignment horizontal="center" vertical="center"/>
    </xf>
    <xf numFmtId="0" fontId="18" fillId="3" borderId="55" xfId="0" applyFont="1" applyFill="1" applyBorder="1" applyAlignment="1">
      <alignment horizontal="left" vertical="center" wrapText="1"/>
    </xf>
    <xf numFmtId="0" fontId="20" fillId="0" borderId="55" xfId="4" applyFont="1" applyBorder="1" applyAlignment="1">
      <alignment vertical="center" wrapText="1"/>
    </xf>
    <xf numFmtId="3" fontId="5" fillId="0" borderId="55" xfId="4" applyNumberFormat="1" applyFont="1" applyBorder="1" applyAlignment="1">
      <alignment horizontal="center" vertical="center"/>
    </xf>
    <xf numFmtId="0" fontId="17" fillId="0" borderId="55" xfId="4" applyFont="1" applyBorder="1" applyAlignment="1">
      <alignment vertical="center" wrapText="1"/>
    </xf>
    <xf numFmtId="0" fontId="5" fillId="0" borderId="55" xfId="4" applyFont="1" applyBorder="1" applyAlignment="1">
      <alignment vertical="center" wrapText="1"/>
    </xf>
    <xf numFmtId="0" fontId="0" fillId="0" borderId="0" xfId="0" applyAlignment="1">
      <alignment vertical="center"/>
    </xf>
    <xf numFmtId="4" fontId="5" fillId="0" borderId="55" xfId="2" applyNumberFormat="1" applyFont="1" applyBorder="1" applyAlignment="1">
      <alignment horizontal="center" vertical="center"/>
    </xf>
    <xf numFmtId="0" fontId="0" fillId="0" borderId="55" xfId="0" applyBorder="1" applyAlignment="1">
      <alignment horizontal="center" vertical="center"/>
    </xf>
    <xf numFmtId="0" fontId="5" fillId="0" borderId="55" xfId="0" applyFont="1" applyBorder="1" applyAlignment="1">
      <alignment horizontal="center" vertical="center" wrapText="1"/>
    </xf>
    <xf numFmtId="2" fontId="0" fillId="0" borderId="0" xfId="0" applyNumberFormat="1" applyAlignment="1">
      <alignment horizontal="center"/>
    </xf>
    <xf numFmtId="0" fontId="15" fillId="0" borderId="0" xfId="0" applyFont="1" applyAlignment="1">
      <alignment horizontal="center"/>
    </xf>
    <xf numFmtId="0" fontId="22" fillId="0" borderId="55" xfId="0" applyFont="1" applyBorder="1" applyAlignment="1">
      <alignment vertical="center" wrapText="1"/>
    </xf>
    <xf numFmtId="0" fontId="13" fillId="0" borderId="1" xfId="0" applyFont="1" applyBorder="1" applyAlignment="1">
      <alignment horizontal="justify" vertical="center" wrapText="1"/>
    </xf>
    <xf numFmtId="167" fontId="11" fillId="0" borderId="1" xfId="0" applyNumberFormat="1" applyFont="1" applyBorder="1" applyAlignment="1">
      <alignment horizontal="center" vertical="center"/>
    </xf>
    <xf numFmtId="0" fontId="5" fillId="0" borderId="0" xfId="0" applyFont="1"/>
    <xf numFmtId="0" fontId="4" fillId="0" borderId="3" xfId="0" applyFont="1" applyBorder="1" applyAlignment="1">
      <alignment horizontal="left" wrapText="1"/>
    </xf>
    <xf numFmtId="0" fontId="4" fillId="0" borderId="1" xfId="0" applyFont="1" applyBorder="1" applyAlignment="1">
      <alignment horizontal="center"/>
    </xf>
    <xf numFmtId="0" fontId="4" fillId="0" borderId="1" xfId="0" applyFont="1" applyBorder="1" applyAlignment="1">
      <alignment horizontal="left" wrapText="1"/>
    </xf>
    <xf numFmtId="1" fontId="12" fillId="0" borderId="1" xfId="0" applyNumberFormat="1" applyFont="1" applyBorder="1" applyAlignment="1">
      <alignment horizontal="center" vertical="center"/>
    </xf>
    <xf numFmtId="0" fontId="12" fillId="0" borderId="1" xfId="0" applyFont="1" applyBorder="1" applyAlignment="1">
      <alignment horizontal="justify" vertical="center" wrapText="1"/>
    </xf>
    <xf numFmtId="0" fontId="3" fillId="0" borderId="0" xfId="0" applyFont="1"/>
    <xf numFmtId="167" fontId="12" fillId="0" borderId="1" xfId="0" applyNumberFormat="1" applyFont="1" applyBorder="1" applyAlignment="1">
      <alignment horizontal="center" vertical="center"/>
    </xf>
    <xf numFmtId="0" fontId="17" fillId="0" borderId="10" xfId="0" applyFont="1" applyBorder="1"/>
    <xf numFmtId="0" fontId="0" fillId="0" borderId="0" xfId="0" applyAlignment="1">
      <alignment wrapText="1"/>
    </xf>
    <xf numFmtId="0" fontId="4" fillId="3" borderId="55" xfId="0" applyFont="1" applyFill="1" applyBorder="1" applyAlignment="1">
      <alignment horizontal="center" vertical="center"/>
    </xf>
    <xf numFmtId="0" fontId="17" fillId="0" borderId="55" xfId="0" applyFont="1" applyBorder="1" applyAlignment="1">
      <alignment vertical="center" wrapText="1"/>
    </xf>
    <xf numFmtId="0" fontId="5" fillId="0" borderId="55" xfId="0" applyFont="1" applyBorder="1" applyAlignment="1">
      <alignment vertical="center" wrapText="1"/>
    </xf>
    <xf numFmtId="0" fontId="18" fillId="3" borderId="55" xfId="0" applyFont="1" applyFill="1" applyBorder="1" applyAlignment="1">
      <alignment vertical="center" wrapText="1"/>
    </xf>
    <xf numFmtId="0" fontId="18" fillId="0" borderId="55" xfId="0" applyFont="1" applyBorder="1" applyAlignment="1">
      <alignment vertical="center" wrapText="1"/>
    </xf>
    <xf numFmtId="0" fontId="21" fillId="0" borderId="55" xfId="0" applyFont="1" applyBorder="1" applyAlignment="1">
      <alignment vertical="center" wrapText="1"/>
    </xf>
    <xf numFmtId="0" fontId="17" fillId="0" borderId="55" xfId="0" applyFont="1" applyBorder="1" applyAlignment="1">
      <alignment horizontal="center" vertical="center"/>
    </xf>
    <xf numFmtId="4" fontId="5" fillId="0" borderId="0" xfId="5" applyNumberFormat="1" applyFont="1" applyAlignment="1">
      <alignment horizontal="center" vertical="center"/>
    </xf>
    <xf numFmtId="0" fontId="4" fillId="3" borderId="11" xfId="5" applyFont="1" applyFill="1" applyBorder="1" applyAlignment="1">
      <alignment horizontal="center" vertical="center" wrapText="1"/>
    </xf>
    <xf numFmtId="0" fontId="4" fillId="3" borderId="12" xfId="5" applyFont="1" applyFill="1" applyBorder="1" applyAlignment="1">
      <alignment horizontal="center" vertical="center" wrapText="1"/>
    </xf>
    <xf numFmtId="4" fontId="4" fillId="3" borderId="13" xfId="5" applyNumberFormat="1" applyFont="1" applyFill="1" applyBorder="1" applyAlignment="1">
      <alignment horizontal="center" vertical="center"/>
    </xf>
    <xf numFmtId="0" fontId="4" fillId="3" borderId="14" xfId="5" applyFont="1" applyFill="1" applyBorder="1" applyAlignment="1">
      <alignment horizontal="center" vertical="center" wrapText="1"/>
    </xf>
    <xf numFmtId="0" fontId="4" fillId="3" borderId="15" xfId="5" applyFont="1" applyFill="1" applyBorder="1" applyAlignment="1">
      <alignment horizontal="center" vertical="center" wrapText="1"/>
    </xf>
    <xf numFmtId="4" fontId="4" fillId="3" borderId="16" xfId="5" applyNumberFormat="1" applyFont="1" applyFill="1" applyBorder="1" applyAlignment="1">
      <alignment horizontal="center" vertical="center"/>
    </xf>
    <xf numFmtId="0" fontId="4" fillId="3" borderId="55" xfId="0" applyFont="1" applyFill="1" applyBorder="1" applyAlignment="1">
      <alignment horizontal="left" wrapText="1"/>
    </xf>
    <xf numFmtId="0" fontId="17" fillId="0" borderId="55" xfId="0" applyFont="1" applyBorder="1" applyAlignment="1">
      <alignment horizontal="left" vertical="center" wrapText="1"/>
    </xf>
    <xf numFmtId="4" fontId="5" fillId="6" borderId="55" xfId="2" applyNumberFormat="1" applyFont="1" applyFill="1" applyBorder="1" applyAlignment="1">
      <alignment horizontal="center" vertical="center"/>
    </xf>
    <xf numFmtId="2" fontId="4" fillId="0" borderId="55" xfId="0" applyNumberFormat="1" applyFont="1" applyBorder="1" applyAlignment="1">
      <alignment horizontal="center" vertical="center"/>
    </xf>
    <xf numFmtId="0" fontId="4" fillId="3" borderId="3" xfId="0" applyFont="1" applyFill="1" applyBorder="1" applyAlignment="1">
      <alignment horizontal="center" vertical="center"/>
    </xf>
    <xf numFmtId="0" fontId="7" fillId="0" borderId="55" xfId="0" applyFont="1" applyBorder="1" applyAlignment="1">
      <alignment horizontal="center" vertical="center"/>
    </xf>
    <xf numFmtId="0" fontId="18" fillId="3" borderId="58" xfId="0" applyFont="1" applyFill="1" applyBorder="1" applyAlignment="1">
      <alignment horizontal="left" vertical="center" wrapText="1"/>
    </xf>
    <xf numFmtId="0" fontId="4" fillId="0" borderId="55" xfId="0" applyFont="1" applyBorder="1" applyAlignment="1">
      <alignment horizontal="center"/>
    </xf>
    <xf numFmtId="0" fontId="0" fillId="0" borderId="0" xfId="0" applyAlignment="1">
      <alignment horizontal="left"/>
    </xf>
    <xf numFmtId="0" fontId="4" fillId="0" borderId="55" xfId="0" applyFont="1" applyBorder="1" applyAlignment="1">
      <alignment horizontal="left"/>
    </xf>
    <xf numFmtId="0" fontId="0" fillId="2" borderId="0" xfId="0" applyFill="1"/>
    <xf numFmtId="0" fontId="5" fillId="2" borderId="0" xfId="5" applyFont="1" applyFill="1" applyAlignment="1">
      <alignment horizontal="center" vertical="top" wrapText="1"/>
    </xf>
    <xf numFmtId="0" fontId="5" fillId="2" borderId="0" xfId="0" applyFont="1" applyFill="1"/>
    <xf numFmtId="0" fontId="0" fillId="2" borderId="0" xfId="0" applyFill="1" applyAlignment="1">
      <alignment horizontal="center"/>
    </xf>
    <xf numFmtId="0" fontId="8" fillId="2" borderId="61" xfId="0" applyFont="1" applyFill="1" applyBorder="1"/>
    <xf numFmtId="0" fontId="8" fillId="2" borderId="62" xfId="0" applyFont="1" applyFill="1" applyBorder="1"/>
    <xf numFmtId="0" fontId="7" fillId="2" borderId="62" xfId="0" applyFont="1" applyFill="1" applyBorder="1" applyAlignment="1">
      <alignment wrapText="1"/>
    </xf>
    <xf numFmtId="0" fontId="4" fillId="2" borderId="59" xfId="0" applyFont="1" applyFill="1" applyBorder="1" applyAlignment="1">
      <alignment horizontal="center"/>
    </xf>
    <xf numFmtId="0" fontId="4" fillId="2" borderId="59" xfId="0" applyFont="1" applyFill="1" applyBorder="1" applyAlignment="1">
      <alignment horizontal="left" wrapText="1"/>
    </xf>
    <xf numFmtId="0" fontId="5" fillId="2" borderId="59" xfId="0" applyFont="1" applyFill="1" applyBorder="1" applyAlignment="1">
      <alignment horizontal="center"/>
    </xf>
    <xf numFmtId="0" fontId="5" fillId="2" borderId="59" xfId="0" applyFont="1" applyFill="1" applyBorder="1" applyAlignment="1">
      <alignment horizontal="left"/>
    </xf>
    <xf numFmtId="0" fontId="0" fillId="2" borderId="0" xfId="0" applyFill="1" applyAlignment="1">
      <alignment vertical="center"/>
    </xf>
    <xf numFmtId="0" fontId="4" fillId="0" borderId="63" xfId="0" applyFont="1" applyBorder="1" applyAlignment="1">
      <alignment horizontal="center" vertical="center" wrapText="1"/>
    </xf>
    <xf numFmtId="0" fontId="18" fillId="0" borderId="55" xfId="0" applyFont="1" applyBorder="1" applyAlignment="1">
      <alignment horizontal="left" vertical="center" wrapText="1"/>
    </xf>
    <xf numFmtId="0" fontId="5" fillId="0" borderId="3" xfId="0" applyFont="1" applyBorder="1" applyAlignment="1">
      <alignment vertical="center" wrapText="1"/>
    </xf>
    <xf numFmtId="0" fontId="5" fillId="0" borderId="3" xfId="0" applyFont="1" applyBorder="1" applyAlignment="1">
      <alignment horizontal="center" vertical="center"/>
    </xf>
    <xf numFmtId="0" fontId="17" fillId="0" borderId="55" xfId="0" applyFont="1" applyBorder="1" applyAlignment="1">
      <alignment horizontal="left" vertical="top" wrapText="1"/>
    </xf>
    <xf numFmtId="0" fontId="17" fillId="0" borderId="55" xfId="0" applyFont="1" applyBorder="1" applyAlignment="1">
      <alignment vertical="top" wrapText="1"/>
    </xf>
    <xf numFmtId="0" fontId="5" fillId="2" borderId="55" xfId="0" applyFont="1" applyFill="1" applyBorder="1" applyAlignment="1">
      <alignment horizontal="center" vertical="center"/>
    </xf>
    <xf numFmtId="0" fontId="17" fillId="2" borderId="55" xfId="4" applyFont="1" applyFill="1" applyBorder="1" applyAlignment="1">
      <alignment vertical="center" wrapText="1"/>
    </xf>
    <xf numFmtId="3" fontId="5" fillId="2" borderId="55" xfId="4" applyNumberFormat="1" applyFont="1" applyFill="1" applyBorder="1" applyAlignment="1">
      <alignment horizontal="center" vertical="center"/>
    </xf>
    <xf numFmtId="0" fontId="5" fillId="2" borderId="55" xfId="4" applyFont="1" applyFill="1" applyBorder="1" applyAlignment="1">
      <alignment vertical="center" wrapText="1"/>
    </xf>
    <xf numFmtId="0" fontId="4" fillId="2" borderId="55" xfId="0" applyFont="1" applyFill="1" applyBorder="1" applyAlignment="1">
      <alignment horizontal="center" vertical="center"/>
    </xf>
    <xf numFmtId="0" fontId="5" fillId="0" borderId="55" xfId="4" applyFont="1" applyBorder="1" applyAlignment="1">
      <alignment vertical="top" wrapText="1"/>
    </xf>
    <xf numFmtId="0" fontId="4" fillId="0" borderId="29" xfId="0" applyFont="1" applyBorder="1" applyAlignment="1">
      <alignment horizontal="center" vertical="center" wrapText="1"/>
    </xf>
    <xf numFmtId="0" fontId="4" fillId="3" borderId="55" xfId="0" applyFont="1" applyFill="1" applyBorder="1" applyAlignment="1">
      <alignment horizontal="left" vertical="top" wrapText="1"/>
    </xf>
    <xf numFmtId="0" fontId="18" fillId="0" borderId="3" xfId="0" applyFont="1" applyBorder="1" applyAlignment="1">
      <alignment horizontal="left" vertical="center" wrapText="1"/>
    </xf>
    <xf numFmtId="0" fontId="18" fillId="2" borderId="55" xfId="0" applyFont="1" applyFill="1" applyBorder="1" applyAlignment="1">
      <alignment vertical="center" wrapText="1"/>
    </xf>
    <xf numFmtId="0" fontId="20" fillId="2" borderId="55" xfId="4" applyFont="1" applyFill="1" applyBorder="1" applyAlignment="1">
      <alignment vertical="center" wrapText="1"/>
    </xf>
    <xf numFmtId="0" fontId="0" fillId="2" borderId="55" xfId="0" applyFill="1" applyBorder="1" applyAlignment="1">
      <alignment horizontal="center" vertical="center"/>
    </xf>
    <xf numFmtId="0" fontId="17" fillId="2" borderId="55" xfId="0" applyFont="1" applyFill="1" applyBorder="1" applyAlignment="1">
      <alignment horizontal="center" vertical="center"/>
    </xf>
    <xf numFmtId="0" fontId="7" fillId="2" borderId="62" xfId="0" applyFont="1" applyFill="1" applyBorder="1"/>
    <xf numFmtId="0" fontId="7" fillId="2" borderId="58" xfId="0" applyFont="1" applyFill="1" applyBorder="1"/>
    <xf numFmtId="0" fontId="4" fillId="0" borderId="65" xfId="0" applyFont="1" applyBorder="1" applyAlignment="1">
      <alignment horizontal="center" vertical="center"/>
    </xf>
    <xf numFmtId="0" fontId="4" fillId="0" borderId="57" xfId="0" applyFont="1" applyBorder="1" applyAlignment="1">
      <alignment horizontal="center" vertical="center" wrapText="1"/>
    </xf>
    <xf numFmtId="0" fontId="18" fillId="0" borderId="25" xfId="0" applyFont="1" applyBorder="1" applyAlignment="1">
      <alignment horizontal="left" vertical="center" wrapText="1"/>
    </xf>
    <xf numFmtId="0" fontId="4" fillId="0" borderId="55" xfId="0" applyFont="1" applyBorder="1" applyAlignment="1">
      <alignment horizontal="center" vertical="center" wrapText="1"/>
    </xf>
    <xf numFmtId="0" fontId="4" fillId="0" borderId="68" xfId="0" applyFont="1" applyBorder="1" applyAlignment="1">
      <alignment horizontal="center" vertical="center"/>
    </xf>
    <xf numFmtId="0" fontId="17" fillId="0" borderId="55" xfId="4" applyFont="1" applyBorder="1" applyAlignment="1">
      <alignment vertical="top" wrapText="1"/>
    </xf>
    <xf numFmtId="0" fontId="4" fillId="2" borderId="17" xfId="5" applyFont="1" applyFill="1" applyBorder="1" applyAlignment="1">
      <alignment horizontal="left" vertical="center" wrapText="1"/>
    </xf>
    <xf numFmtId="0" fontId="4" fillId="2" borderId="9" xfId="1" applyFont="1" applyFill="1" applyBorder="1" applyAlignment="1" applyProtection="1">
      <alignment horizontal="center" vertical="center"/>
      <protection locked="0"/>
    </xf>
    <xf numFmtId="0" fontId="4" fillId="2" borderId="10" xfId="1" applyFont="1" applyFill="1" applyBorder="1" applyAlignment="1" applyProtection="1">
      <alignment horizontal="center" vertical="center"/>
      <protection locked="0"/>
    </xf>
    <xf numFmtId="4" fontId="5" fillId="2" borderId="10" xfId="5" applyNumberFormat="1" applyFont="1" applyFill="1" applyBorder="1" applyAlignment="1" applyProtection="1">
      <alignment horizontal="center" vertical="center"/>
      <protection locked="0"/>
    </xf>
    <xf numFmtId="0" fontId="11" fillId="0" borderId="55" xfId="0" applyFont="1" applyBorder="1" applyAlignment="1">
      <alignment horizontal="justify" vertical="center" wrapText="1"/>
    </xf>
    <xf numFmtId="0" fontId="11" fillId="0" borderId="55" xfId="0" applyFont="1" applyBorder="1" applyAlignment="1">
      <alignment horizontal="center" vertical="center"/>
    </xf>
    <xf numFmtId="0" fontId="17" fillId="0" borderId="55" xfId="0" applyFont="1" applyBorder="1"/>
    <xf numFmtId="0" fontId="17" fillId="0" borderId="55" xfId="0" applyFont="1" applyBorder="1" applyAlignment="1">
      <alignment horizontal="center"/>
    </xf>
    <xf numFmtId="167" fontId="11" fillId="0" borderId="55" xfId="0" applyNumberFormat="1" applyFont="1" applyBorder="1" applyAlignment="1">
      <alignment horizontal="center" vertical="center"/>
    </xf>
    <xf numFmtId="0" fontId="17" fillId="0" borderId="55" xfId="0" applyFont="1" applyBorder="1" applyAlignment="1">
      <alignment wrapText="1"/>
    </xf>
    <xf numFmtId="172" fontId="5" fillId="0" borderId="55" xfId="2" applyNumberFormat="1" applyFont="1" applyBorder="1" applyAlignment="1">
      <alignment horizontal="center" vertical="center"/>
    </xf>
    <xf numFmtId="172" fontId="5" fillId="0" borderId="55" xfId="2" applyNumberFormat="1" applyFont="1" applyBorder="1" applyAlignment="1">
      <alignment horizontal="left" vertical="center"/>
    </xf>
    <xf numFmtId="172" fontId="5" fillId="2" borderId="55" xfId="2" applyNumberFormat="1" applyFont="1" applyFill="1" applyBorder="1" applyAlignment="1">
      <alignment horizontal="left" vertical="center"/>
    </xf>
    <xf numFmtId="172" fontId="5" fillId="6" borderId="55" xfId="2" applyNumberFormat="1" applyFont="1" applyFill="1" applyBorder="1" applyAlignment="1">
      <alignment horizontal="center" vertical="center"/>
    </xf>
    <xf numFmtId="0" fontId="17" fillId="0" borderId="5" xfId="4" applyFont="1" applyBorder="1" applyAlignment="1">
      <alignment vertical="center" wrapText="1"/>
    </xf>
    <xf numFmtId="0" fontId="5" fillId="0" borderId="5" xfId="0" applyFont="1" applyBorder="1" applyAlignment="1">
      <alignment horizontal="center" vertical="center"/>
    </xf>
    <xf numFmtId="172" fontId="5" fillId="0" borderId="5" xfId="2" applyNumberFormat="1" applyFont="1" applyBorder="1" applyAlignment="1">
      <alignment horizontal="left" vertical="center"/>
    </xf>
    <xf numFmtId="0" fontId="23" fillId="0" borderId="69" xfId="4" applyFont="1" applyBorder="1" applyAlignment="1">
      <alignment vertical="center" wrapText="1"/>
    </xf>
    <xf numFmtId="0" fontId="18" fillId="0" borderId="55" xfId="0" applyFont="1" applyBorder="1"/>
    <xf numFmtId="1" fontId="12" fillId="0" borderId="55" xfId="0" applyNumberFormat="1" applyFont="1" applyBorder="1" applyAlignment="1">
      <alignment horizontal="center" vertical="center"/>
    </xf>
    <xf numFmtId="0" fontId="0" fillId="0" borderId="61" xfId="0" applyBorder="1" applyAlignment="1">
      <alignment horizontal="center"/>
    </xf>
    <xf numFmtId="0" fontId="24" fillId="0" borderId="69" xfId="0" applyFont="1" applyBorder="1" applyAlignment="1">
      <alignment wrapText="1"/>
    </xf>
    <xf numFmtId="0" fontId="18" fillId="7" borderId="55" xfId="0" applyFont="1" applyFill="1" applyBorder="1" applyAlignment="1">
      <alignment horizontal="left" wrapText="1"/>
    </xf>
    <xf numFmtId="0" fontId="17" fillId="7" borderId="55" xfId="0" applyFont="1" applyFill="1" applyBorder="1" applyAlignment="1">
      <alignment horizontal="center"/>
    </xf>
    <xf numFmtId="0" fontId="5" fillId="3" borderId="55" xfId="0" applyFont="1" applyFill="1" applyBorder="1" applyAlignment="1">
      <alignment horizontal="center" vertical="center"/>
    </xf>
    <xf numFmtId="4" fontId="5" fillId="3" borderId="55" xfId="2" applyNumberFormat="1" applyFont="1" applyFill="1" applyBorder="1" applyAlignment="1">
      <alignment horizontal="center" vertical="center"/>
    </xf>
    <xf numFmtId="0" fontId="17" fillId="2" borderId="62" xfId="0" applyFont="1" applyFill="1" applyBorder="1" applyAlignment="1">
      <alignment vertical="center"/>
    </xf>
    <xf numFmtId="0" fontId="17" fillId="2" borderId="58" xfId="0" applyFont="1" applyFill="1" applyBorder="1" applyAlignment="1">
      <alignment vertical="center"/>
    </xf>
    <xf numFmtId="171" fontId="5" fillId="0" borderId="55" xfId="2" applyNumberFormat="1" applyFont="1" applyBorder="1" applyAlignment="1">
      <alignment horizontal="left" vertical="center"/>
    </xf>
    <xf numFmtId="0" fontId="23" fillId="0" borderId="55" xfId="4" applyFont="1" applyBorder="1" applyAlignment="1">
      <alignment vertical="center" wrapText="1"/>
    </xf>
    <xf numFmtId="171" fontId="5" fillId="0" borderId="5" xfId="2" applyNumberFormat="1" applyFont="1" applyBorder="1" applyAlignment="1">
      <alignment horizontal="left" vertical="center"/>
    </xf>
    <xf numFmtId="0" fontId="4" fillId="3" borderId="65" xfId="0" applyFont="1" applyFill="1" applyBorder="1" applyAlignment="1">
      <alignment horizontal="center" vertical="center"/>
    </xf>
    <xf numFmtId="1" fontId="5" fillId="0" borderId="55" xfId="0" applyNumberFormat="1" applyFont="1" applyBorder="1" applyAlignment="1">
      <alignment horizontal="center" vertical="center"/>
    </xf>
    <xf numFmtId="0" fontId="18" fillId="0" borderId="61" xfId="0" applyFont="1" applyBorder="1" applyAlignment="1">
      <alignment vertical="center" wrapText="1"/>
    </xf>
    <xf numFmtId="0" fontId="18" fillId="3" borderId="61" xfId="0" applyFont="1" applyFill="1" applyBorder="1" applyAlignment="1">
      <alignment vertical="center" wrapText="1"/>
    </xf>
    <xf numFmtId="0" fontId="20" fillId="0" borderId="61" xfId="4" applyFont="1" applyBorder="1" applyAlignment="1">
      <alignment vertical="center" wrapText="1"/>
    </xf>
    <xf numFmtId="0" fontId="4" fillId="3" borderId="64" xfId="0" applyFont="1" applyFill="1" applyBorder="1" applyAlignment="1">
      <alignment horizontal="center" vertical="center"/>
    </xf>
    <xf numFmtId="0" fontId="4" fillId="3" borderId="66" xfId="0" applyFont="1" applyFill="1" applyBorder="1" applyAlignment="1">
      <alignment horizontal="center" vertical="center"/>
    </xf>
    <xf numFmtId="171" fontId="5" fillId="6" borderId="55" xfId="2" applyNumberFormat="1" applyFont="1" applyFill="1" applyBorder="1" applyAlignment="1">
      <alignment horizontal="left" vertical="center"/>
    </xf>
    <xf numFmtId="171" fontId="4" fillId="0" borderId="70" xfId="6" applyNumberFormat="1" applyFont="1" applyBorder="1" applyAlignment="1">
      <alignment horizontal="left" vertical="center"/>
    </xf>
    <xf numFmtId="4" fontId="5" fillId="6" borderId="5" xfId="2" applyNumberFormat="1" applyFont="1" applyFill="1" applyBorder="1" applyAlignment="1">
      <alignment horizontal="center" vertical="center"/>
    </xf>
    <xf numFmtId="0" fontId="5" fillId="0" borderId="69" xfId="0" applyFont="1" applyBorder="1" applyAlignment="1">
      <alignment horizontal="center" vertical="center"/>
    </xf>
    <xf numFmtId="0" fontId="23" fillId="0" borderId="22" xfId="4" applyFont="1" applyBorder="1" applyAlignment="1">
      <alignment vertical="center" wrapText="1"/>
    </xf>
    <xf numFmtId="171" fontId="5" fillId="0" borderId="5" xfId="2" applyNumberFormat="1" applyFont="1" applyBorder="1" applyAlignment="1">
      <alignment horizontal="center" vertical="center"/>
    </xf>
    <xf numFmtId="171" fontId="4" fillId="0" borderId="70" xfId="6" applyNumberFormat="1" applyFont="1" applyBorder="1" applyAlignment="1">
      <alignment horizontal="center" vertical="center"/>
    </xf>
    <xf numFmtId="0" fontId="8" fillId="2" borderId="61" xfId="0" applyFont="1" applyFill="1" applyBorder="1" applyAlignment="1">
      <alignment horizontal="left"/>
    </xf>
    <xf numFmtId="0" fontId="5" fillId="0" borderId="7" xfId="0" applyFont="1" applyBorder="1" applyAlignment="1">
      <alignment horizontal="center"/>
    </xf>
    <xf numFmtId="0" fontId="5" fillId="0" borderId="6" xfId="0" applyFont="1" applyBorder="1" applyAlignment="1">
      <alignment horizontal="center"/>
    </xf>
    <xf numFmtId="0" fontId="5" fillId="0" borderId="0" xfId="0" applyFont="1" applyAlignment="1">
      <alignment horizontal="center"/>
    </xf>
    <xf numFmtId="0" fontId="5" fillId="0" borderId="23" xfId="0" applyFont="1" applyBorder="1" applyAlignment="1">
      <alignment horizontal="center"/>
    </xf>
    <xf numFmtId="0" fontId="5" fillId="3" borderId="0" xfId="0" applyFont="1" applyFill="1" applyAlignment="1">
      <alignment horizontal="center" vertical="center"/>
    </xf>
    <xf numFmtId="0" fontId="5" fillId="3" borderId="24" xfId="0" applyFont="1" applyFill="1" applyBorder="1" applyAlignment="1">
      <alignment horizontal="center" vertical="center"/>
    </xf>
    <xf numFmtId="0" fontId="4" fillId="3" borderId="24" xfId="0" applyFont="1" applyFill="1" applyBorder="1" applyAlignment="1">
      <alignment horizontal="center" vertical="center"/>
    </xf>
    <xf numFmtId="0" fontId="5" fillId="0" borderId="61" xfId="0" applyFont="1" applyBorder="1" applyAlignment="1">
      <alignment horizontal="center" vertical="center"/>
    </xf>
    <xf numFmtId="0" fontId="5" fillId="3" borderId="45" xfId="0" applyFont="1" applyFill="1" applyBorder="1" applyAlignment="1">
      <alignment horizontal="center" vertical="center"/>
    </xf>
    <xf numFmtId="0" fontId="5" fillId="0" borderId="7" xfId="0" applyFont="1" applyBorder="1" applyAlignment="1">
      <alignment horizontal="center" vertical="center"/>
    </xf>
    <xf numFmtId="0" fontId="5" fillId="0" borderId="23" xfId="0" applyFont="1" applyBorder="1" applyAlignment="1">
      <alignment horizontal="center" vertical="center"/>
    </xf>
    <xf numFmtId="0" fontId="0" fillId="0" borderId="0" xfId="0" applyProtection="1">
      <protection locked="0"/>
    </xf>
    <xf numFmtId="4" fontId="5" fillId="2" borderId="0" xfId="5" applyNumberFormat="1" applyFont="1" applyFill="1" applyAlignment="1" applyProtection="1">
      <alignment horizontal="center" vertical="center"/>
      <protection locked="0"/>
    </xf>
    <xf numFmtId="49" fontId="6" fillId="2" borderId="7" xfId="5" applyNumberFormat="1" applyFont="1" applyFill="1" applyBorder="1" applyAlignment="1">
      <alignment horizontal="left" vertical="top"/>
    </xf>
    <xf numFmtId="0" fontId="4" fillId="2" borderId="8" xfId="5" applyFont="1" applyFill="1" applyBorder="1" applyAlignment="1">
      <alignment horizontal="center" vertical="top" wrapText="1"/>
    </xf>
    <xf numFmtId="0" fontId="4" fillId="2" borderId="8" xfId="5" applyFont="1" applyFill="1" applyBorder="1" applyAlignment="1">
      <alignment horizontal="left" vertical="top" wrapText="1"/>
    </xf>
    <xf numFmtId="1" fontId="4" fillId="2" borderId="6" xfId="0" applyNumberFormat="1" applyFont="1" applyFill="1" applyBorder="1" applyAlignment="1">
      <alignment horizontal="left"/>
    </xf>
    <xf numFmtId="0" fontId="4" fillId="2" borderId="0" xfId="5" applyFont="1" applyFill="1" applyAlignment="1">
      <alignment horizontal="center" vertical="top" wrapText="1"/>
    </xf>
    <xf numFmtId="0" fontId="4" fillId="2" borderId="0" xfId="5" applyFont="1" applyFill="1" applyAlignment="1">
      <alignment horizontal="left" vertical="top" wrapText="1"/>
    </xf>
    <xf numFmtId="170" fontId="4" fillId="2" borderId="10" xfId="5" applyNumberFormat="1" applyFont="1" applyFill="1" applyBorder="1" applyAlignment="1" applyProtection="1">
      <alignment horizontal="center" vertical="center"/>
      <protection locked="0"/>
    </xf>
    <xf numFmtId="0" fontId="5" fillId="2" borderId="6" xfId="5" applyFont="1" applyFill="1" applyBorder="1" applyAlignment="1">
      <alignment horizontal="center" vertical="top" wrapText="1"/>
    </xf>
    <xf numFmtId="4" fontId="4" fillId="3" borderId="11" xfId="5" applyNumberFormat="1" applyFont="1" applyFill="1" applyBorder="1" applyAlignment="1" applyProtection="1">
      <alignment horizontal="center" vertical="center"/>
      <protection locked="0"/>
    </xf>
    <xf numFmtId="4" fontId="4" fillId="3" borderId="14" xfId="5" applyNumberFormat="1" applyFont="1" applyFill="1" applyBorder="1" applyAlignment="1" applyProtection="1">
      <alignment horizontal="center" vertical="center"/>
      <protection locked="0"/>
    </xf>
    <xf numFmtId="171" fontId="5" fillId="0" borderId="31" xfId="5" applyNumberFormat="1" applyFont="1" applyBorder="1" applyAlignment="1" applyProtection="1">
      <alignment horizontal="left" vertical="center"/>
      <protection locked="0"/>
    </xf>
    <xf numFmtId="171" fontId="5" fillId="2" borderId="18" xfId="5" applyNumberFormat="1" applyFont="1" applyFill="1" applyBorder="1" applyAlignment="1" applyProtection="1">
      <alignment horizontal="left" vertical="center"/>
      <protection locked="0"/>
    </xf>
    <xf numFmtId="166" fontId="0" fillId="2" borderId="0" xfId="0" applyNumberFormat="1" applyFill="1" applyProtection="1">
      <protection locked="0"/>
    </xf>
    <xf numFmtId="166" fontId="2" fillId="0" borderId="0" xfId="0" applyNumberFormat="1" applyFont="1" applyAlignment="1">
      <alignment horizontal="center"/>
    </xf>
    <xf numFmtId="171" fontId="5" fillId="2" borderId="1" xfId="5" applyNumberFormat="1" applyFont="1" applyFill="1" applyBorder="1" applyAlignment="1" applyProtection="1">
      <alignment horizontal="center" vertical="center"/>
      <protection locked="0"/>
    </xf>
    <xf numFmtId="171" fontId="4" fillId="2" borderId="19" xfId="5" applyNumberFormat="1" applyFont="1" applyFill="1" applyBorder="1" applyAlignment="1" applyProtection="1">
      <alignment horizontal="center" vertical="center"/>
      <protection locked="0"/>
    </xf>
    <xf numFmtId="166" fontId="2" fillId="0" borderId="0" xfId="0" applyNumberFormat="1" applyFont="1" applyAlignment="1">
      <alignment wrapText="1"/>
    </xf>
    <xf numFmtId="171" fontId="4" fillId="0" borderId="19" xfId="5" applyNumberFormat="1" applyFont="1" applyBorder="1" applyAlignment="1" applyProtection="1">
      <alignment horizontal="center" vertical="center"/>
      <protection locked="0"/>
    </xf>
    <xf numFmtId="166" fontId="0" fillId="0" borderId="0" xfId="0" applyNumberFormat="1"/>
    <xf numFmtId="171" fontId="5" fillId="2" borderId="14" xfId="5" applyNumberFormat="1" applyFont="1" applyFill="1" applyBorder="1" applyAlignment="1" applyProtection="1">
      <alignment horizontal="center" vertical="center"/>
      <protection locked="0"/>
    </xf>
    <xf numFmtId="171" fontId="4" fillId="2" borderId="22" xfId="5" applyNumberFormat="1" applyFont="1" applyFill="1" applyBorder="1" applyAlignment="1" applyProtection="1">
      <alignment horizontal="center" vertical="center"/>
      <protection locked="0"/>
    </xf>
    <xf numFmtId="4" fontId="4" fillId="0" borderId="0" xfId="5" applyNumberFormat="1" applyFont="1" applyAlignment="1" applyProtection="1">
      <alignment horizontal="center" vertical="center"/>
      <protection locked="0"/>
    </xf>
    <xf numFmtId="0" fontId="8" fillId="2" borderId="62" xfId="0" applyFont="1" applyFill="1" applyBorder="1" applyProtection="1">
      <protection locked="0"/>
    </xf>
    <xf numFmtId="0" fontId="8" fillId="2" borderId="58" xfId="0" applyFont="1" applyFill="1" applyBorder="1" applyProtection="1">
      <protection locked="0"/>
    </xf>
    <xf numFmtId="169" fontId="5" fillId="2" borderId="59" xfId="2" applyNumberFormat="1" applyFont="1" applyFill="1" applyBorder="1" applyAlignment="1" applyProtection="1">
      <alignment horizontal="left"/>
      <protection locked="0"/>
    </xf>
    <xf numFmtId="169" fontId="4" fillId="2" borderId="60" xfId="2" applyNumberFormat="1" applyFont="1" applyFill="1" applyBorder="1" applyAlignment="1" applyProtection="1">
      <alignment horizontal="left"/>
      <protection locked="0"/>
    </xf>
    <xf numFmtId="0" fontId="0" fillId="2" borderId="0" xfId="0" applyFill="1" applyProtection="1">
      <protection locked="0"/>
    </xf>
    <xf numFmtId="168" fontId="4" fillId="0" borderId="23" xfId="2" applyNumberFormat="1" applyFont="1" applyBorder="1" applyAlignment="1" applyProtection="1">
      <alignment horizontal="center"/>
      <protection locked="0"/>
    </xf>
    <xf numFmtId="0" fontId="5" fillId="2" borderId="0" xfId="0" applyFont="1" applyFill="1" applyProtection="1">
      <protection locked="0"/>
    </xf>
    <xf numFmtId="171" fontId="11" fillId="0" borderId="55" xfId="0" applyNumberFormat="1" applyFont="1" applyBorder="1" applyAlignment="1" applyProtection="1">
      <alignment horizontal="left" vertical="center"/>
      <protection locked="0"/>
    </xf>
    <xf numFmtId="171" fontId="11" fillId="0" borderId="55" xfId="8" applyNumberFormat="1" applyFont="1" applyBorder="1" applyAlignment="1" applyProtection="1">
      <alignment horizontal="left"/>
      <protection locked="0"/>
    </xf>
    <xf numFmtId="171" fontId="5" fillId="0" borderId="55" xfId="0" applyNumberFormat="1" applyFont="1" applyBorder="1" applyAlignment="1" applyProtection="1">
      <alignment horizontal="left"/>
      <protection locked="0"/>
    </xf>
    <xf numFmtId="171" fontId="11" fillId="7" borderId="55" xfId="8" applyNumberFormat="1" applyFont="1" applyFill="1" applyBorder="1" applyAlignment="1" applyProtection="1">
      <alignment horizontal="center"/>
      <protection locked="0"/>
    </xf>
    <xf numFmtId="171" fontId="5" fillId="7" borderId="55" xfId="0" applyNumberFormat="1" applyFont="1" applyFill="1" applyBorder="1" applyAlignment="1" applyProtection="1">
      <alignment horizontal="left"/>
      <protection locked="0"/>
    </xf>
    <xf numFmtId="171" fontId="15" fillId="0" borderId="70" xfId="0" applyNumberFormat="1" applyFont="1" applyBorder="1" applyAlignment="1" applyProtection="1">
      <alignment horizontal="left"/>
      <protection locked="0"/>
    </xf>
    <xf numFmtId="164" fontId="0" fillId="0" borderId="0" xfId="0" applyNumberFormat="1" applyAlignment="1">
      <alignment horizontal="center"/>
    </xf>
    <xf numFmtId="164" fontId="0" fillId="0" borderId="0" xfId="0" applyNumberFormat="1"/>
    <xf numFmtId="165" fontId="0" fillId="0" borderId="0" xfId="0" applyNumberFormat="1"/>
    <xf numFmtId="1" fontId="8" fillId="0" borderId="0" xfId="0" applyNumberFormat="1" applyFont="1" applyProtection="1">
      <protection locked="0"/>
    </xf>
    <xf numFmtId="0" fontId="7" fillId="0" borderId="0" xfId="0" applyFont="1" applyProtection="1">
      <protection locked="0"/>
    </xf>
    <xf numFmtId="0" fontId="8" fillId="0" borderId="0" xfId="0" applyFont="1" applyAlignment="1" applyProtection="1">
      <alignment horizontal="left"/>
      <protection locked="0"/>
    </xf>
    <xf numFmtId="0" fontId="19" fillId="0" borderId="0" xfId="0" applyFont="1" applyAlignment="1" applyProtection="1">
      <alignment wrapText="1"/>
      <protection locked="0"/>
    </xf>
    <xf numFmtId="0" fontId="7" fillId="0" borderId="0" xfId="0" applyFont="1" applyAlignment="1" applyProtection="1">
      <alignment horizontal="center"/>
      <protection locked="0"/>
    </xf>
    <xf numFmtId="164" fontId="8" fillId="0" borderId="0" xfId="0" applyNumberFormat="1" applyFont="1" applyAlignment="1" applyProtection="1">
      <alignment horizontal="center"/>
      <protection locked="0"/>
    </xf>
    <xf numFmtId="164" fontId="8" fillId="0" borderId="0" xfId="0" applyNumberFormat="1" applyFont="1" applyProtection="1">
      <protection locked="0"/>
    </xf>
    <xf numFmtId="165" fontId="7" fillId="0" borderId="0" xfId="0" applyNumberFormat="1" applyFont="1" applyProtection="1">
      <protection locked="0"/>
    </xf>
    <xf numFmtId="0" fontId="4" fillId="0" borderId="2" xfId="0" applyFont="1" applyBorder="1" applyAlignment="1" applyProtection="1">
      <alignment horizontal="center"/>
      <protection locked="0"/>
    </xf>
    <xf numFmtId="0" fontId="18" fillId="0" borderId="2" xfId="0" applyFont="1" applyBorder="1" applyAlignment="1" applyProtection="1">
      <alignment horizontal="left" wrapText="1"/>
      <protection locked="0"/>
    </xf>
    <xf numFmtId="164" fontId="4" fillId="0" borderId="2" xfId="2" applyNumberFormat="1" applyFont="1" applyBorder="1" applyAlignment="1" applyProtection="1">
      <alignment horizontal="center"/>
      <protection locked="0"/>
    </xf>
    <xf numFmtId="164" fontId="4" fillId="0" borderId="4" xfId="2" applyNumberFormat="1" applyFont="1" applyBorder="1" applyAlignment="1" applyProtection="1">
      <alignment horizontal="center"/>
      <protection locked="0"/>
    </xf>
    <xf numFmtId="164" fontId="4" fillId="0" borderId="0" xfId="2" applyNumberFormat="1" applyFont="1" applyAlignment="1" applyProtection="1">
      <alignment horizontal="center"/>
      <protection locked="0"/>
    </xf>
    <xf numFmtId="0" fontId="4" fillId="0" borderId="29" xfId="0" applyFont="1" applyBorder="1" applyAlignment="1" applyProtection="1">
      <alignment horizontal="center"/>
      <protection locked="0"/>
    </xf>
    <xf numFmtId="0" fontId="18" fillId="0" borderId="3" xfId="0" applyFont="1" applyBorder="1" applyAlignment="1" applyProtection="1">
      <alignment horizontal="left" wrapText="1"/>
      <protection locked="0"/>
    </xf>
    <xf numFmtId="0" fontId="4" fillId="0" borderId="23" xfId="0" applyFont="1" applyBorder="1" applyAlignment="1" applyProtection="1">
      <alignment horizontal="center" wrapText="1"/>
      <protection locked="0"/>
    </xf>
    <xf numFmtId="0" fontId="4" fillId="0" borderId="23" xfId="0" applyFont="1" applyBorder="1" applyAlignment="1" applyProtection="1">
      <alignment horizontal="center" vertical="center" wrapText="1"/>
      <protection locked="0"/>
    </xf>
    <xf numFmtId="164" fontId="4" fillId="0" borderId="23" xfId="2" applyNumberFormat="1" applyFont="1" applyBorder="1" applyAlignment="1">
      <alignment horizontal="center" wrapText="1"/>
    </xf>
    <xf numFmtId="164" fontId="4" fillId="0" borderId="27" xfId="2" applyNumberFormat="1" applyFont="1" applyBorder="1" applyAlignment="1" applyProtection="1">
      <alignment horizontal="center" vertical="center" wrapText="1"/>
      <protection locked="0"/>
    </xf>
    <xf numFmtId="164" fontId="4" fillId="0" borderId="23" xfId="2" applyNumberFormat="1" applyFont="1" applyBorder="1" applyAlignment="1" applyProtection="1">
      <alignment horizontal="center" vertical="center" wrapText="1"/>
      <protection locked="0"/>
    </xf>
    <xf numFmtId="165" fontId="2" fillId="0" borderId="0" xfId="0" applyNumberFormat="1" applyFont="1" applyProtection="1">
      <protection locked="0"/>
    </xf>
    <xf numFmtId="164" fontId="4" fillId="0" borderId="0" xfId="2" applyNumberFormat="1" applyFont="1" applyAlignment="1" applyProtection="1">
      <alignment horizontal="center" wrapText="1"/>
      <protection locked="0"/>
    </xf>
    <xf numFmtId="0" fontId="4" fillId="0" borderId="5" xfId="0" applyFont="1" applyBorder="1" applyAlignment="1" applyProtection="1">
      <alignment horizontal="center"/>
      <protection locked="0"/>
    </xf>
    <xf numFmtId="0" fontId="17" fillId="0" borderId="8" xfId="0" applyFont="1" applyBorder="1" applyAlignment="1" applyProtection="1">
      <alignment horizontal="left" wrapText="1"/>
      <protection locked="0"/>
    </xf>
    <xf numFmtId="0" fontId="5" fillId="0" borderId="7" xfId="0" applyFont="1" applyBorder="1" applyAlignment="1" applyProtection="1">
      <alignment horizontal="center"/>
      <protection locked="0"/>
    </xf>
    <xf numFmtId="164" fontId="5" fillId="0" borderId="7" xfId="2" applyNumberFormat="1" applyFont="1" applyBorder="1" applyAlignment="1" applyProtection="1">
      <alignment horizontal="center"/>
      <protection locked="0"/>
    </xf>
    <xf numFmtId="164" fontId="5" fillId="0" borderId="28" xfId="2" applyNumberFormat="1" applyFont="1" applyBorder="1" applyAlignment="1" applyProtection="1">
      <alignment horizontal="center"/>
      <protection locked="0"/>
    </xf>
    <xf numFmtId="164" fontId="5" fillId="0" borderId="0" xfId="2" applyNumberFormat="1" applyFont="1" applyAlignment="1" applyProtection="1">
      <alignment horizontal="center"/>
      <protection locked="0"/>
    </xf>
    <xf numFmtId="0" fontId="5" fillId="3" borderId="46" xfId="0" applyFont="1" applyFill="1" applyBorder="1" applyAlignment="1" applyProtection="1">
      <alignment horizontal="center"/>
      <protection locked="0"/>
    </xf>
    <xf numFmtId="0" fontId="18" fillId="3" borderId="47" xfId="0" applyFont="1" applyFill="1" applyBorder="1" applyAlignment="1" applyProtection="1">
      <alignment horizontal="left" wrapText="1"/>
      <protection locked="0"/>
    </xf>
    <xf numFmtId="0" fontId="5" fillId="3" borderId="47" xfId="0" applyFont="1" applyFill="1" applyBorder="1" applyAlignment="1" applyProtection="1">
      <alignment horizontal="center"/>
      <protection locked="0"/>
    </xf>
    <xf numFmtId="164" fontId="5" fillId="3" borderId="47" xfId="2" applyNumberFormat="1" applyFont="1" applyFill="1" applyBorder="1" applyAlignment="1" applyProtection="1">
      <alignment horizontal="center"/>
      <protection locked="0"/>
    </xf>
    <xf numFmtId="164" fontId="5" fillId="3" borderId="48" xfId="2" applyNumberFormat="1" applyFont="1" applyFill="1" applyBorder="1" applyAlignment="1" applyProtection="1">
      <alignment horizontal="center"/>
      <protection locked="0"/>
    </xf>
    <xf numFmtId="0" fontId="5" fillId="0" borderId="53" xfId="0" applyFont="1" applyBorder="1" applyAlignment="1" applyProtection="1">
      <alignment horizontal="center"/>
      <protection locked="0"/>
    </xf>
    <xf numFmtId="0" fontId="18" fillId="0" borderId="35" xfId="0" applyFont="1" applyBorder="1" applyAlignment="1" applyProtection="1">
      <alignment horizontal="justify" vertical="center" wrapText="1"/>
      <protection locked="0"/>
    </xf>
    <xf numFmtId="0" fontId="5" fillId="0" borderId="35" xfId="0" applyFont="1" applyBorder="1" applyAlignment="1" applyProtection="1">
      <alignment horizontal="center"/>
      <protection locked="0"/>
    </xf>
    <xf numFmtId="164" fontId="5" fillId="0" borderId="35" xfId="2" applyNumberFormat="1" applyFont="1" applyBorder="1" applyAlignment="1" applyProtection="1">
      <alignment horizontal="center"/>
      <protection locked="0"/>
    </xf>
    <xf numFmtId="164" fontId="5" fillId="0" borderId="41" xfId="2" applyNumberFormat="1" applyFont="1" applyBorder="1" applyAlignment="1" applyProtection="1">
      <alignment horizontal="center"/>
      <protection locked="0"/>
    </xf>
    <xf numFmtId="0" fontId="5" fillId="3" borderId="51" xfId="0" applyFont="1" applyFill="1" applyBorder="1" applyAlignment="1" applyProtection="1">
      <alignment horizontal="center"/>
      <protection locked="0"/>
    </xf>
    <xf numFmtId="0" fontId="18" fillId="3" borderId="24" xfId="0" applyFont="1" applyFill="1" applyBorder="1" applyAlignment="1" applyProtection="1">
      <alignment horizontal="justify" vertical="center" wrapText="1"/>
      <protection locked="0"/>
    </xf>
    <xf numFmtId="0" fontId="5" fillId="3" borderId="24" xfId="0" applyFont="1" applyFill="1" applyBorder="1" applyAlignment="1" applyProtection="1">
      <alignment horizontal="center"/>
      <protection locked="0"/>
    </xf>
    <xf numFmtId="164" fontId="5" fillId="3" borderId="24" xfId="2" applyNumberFormat="1" applyFont="1" applyFill="1" applyBorder="1" applyAlignment="1" applyProtection="1">
      <alignment horizontal="center"/>
      <protection locked="0"/>
    </xf>
    <xf numFmtId="164" fontId="5" fillId="3" borderId="52" xfId="2" applyNumberFormat="1" applyFont="1" applyFill="1" applyBorder="1" applyAlignment="1" applyProtection="1">
      <alignment horizontal="center"/>
      <protection locked="0"/>
    </xf>
    <xf numFmtId="0" fontId="5" fillId="0" borderId="37" xfId="0" applyFont="1" applyBorder="1" applyAlignment="1" applyProtection="1">
      <alignment horizontal="center"/>
      <protection locked="0"/>
    </xf>
    <xf numFmtId="0" fontId="20" fillId="0" borderId="0" xfId="0" applyFont="1" applyAlignment="1" applyProtection="1">
      <alignment horizontal="justify" vertical="center" wrapText="1"/>
      <protection locked="0"/>
    </xf>
    <xf numFmtId="0" fontId="5" fillId="0" borderId="6" xfId="0" applyFont="1" applyBorder="1" applyAlignment="1" applyProtection="1">
      <alignment horizontal="center"/>
      <protection locked="0"/>
    </xf>
    <xf numFmtId="164" fontId="5" fillId="0" borderId="38" xfId="2" applyNumberFormat="1" applyFont="1" applyBorder="1" applyAlignment="1" applyProtection="1">
      <alignment horizontal="center"/>
      <protection locked="0"/>
    </xf>
    <xf numFmtId="164" fontId="5" fillId="0" borderId="6" xfId="2" applyNumberFormat="1" applyFont="1" applyBorder="1" applyAlignment="1" applyProtection="1">
      <alignment horizontal="center"/>
      <protection locked="0"/>
    </xf>
    <xf numFmtId="164" fontId="5" fillId="0" borderId="26" xfId="2" applyNumberFormat="1" applyFont="1" applyBorder="1" applyAlignment="1" applyProtection="1">
      <alignment horizontal="center"/>
      <protection locked="0"/>
    </xf>
    <xf numFmtId="0" fontId="11" fillId="0" borderId="0" xfId="0" applyFont="1" applyAlignment="1" applyProtection="1">
      <alignment horizontal="left" wrapText="1"/>
      <protection locked="0"/>
    </xf>
    <xf numFmtId="4" fontId="5" fillId="0" borderId="6" xfId="0" applyNumberFormat="1" applyFont="1" applyBorder="1" applyAlignment="1" applyProtection="1">
      <alignment horizontal="center"/>
      <protection locked="0"/>
    </xf>
    <xf numFmtId="4" fontId="5" fillId="0" borderId="38" xfId="2" applyNumberFormat="1" applyFont="1" applyBorder="1" applyAlignment="1" applyProtection="1">
      <alignment horizontal="center"/>
      <protection locked="0"/>
    </xf>
    <xf numFmtId="4" fontId="5" fillId="0" borderId="6" xfId="2" applyNumberFormat="1" applyFont="1" applyBorder="1" applyAlignment="1" applyProtection="1">
      <alignment horizontal="center"/>
      <protection locked="0"/>
    </xf>
    <xf numFmtId="4" fontId="5" fillId="0" borderId="26" xfId="2" applyNumberFormat="1" applyFont="1" applyBorder="1" applyAlignment="1" applyProtection="1">
      <alignment horizontal="center"/>
      <protection locked="0"/>
    </xf>
    <xf numFmtId="165" fontId="0" fillId="0" borderId="0" xfId="0" applyNumberFormat="1" applyAlignment="1" applyProtection="1">
      <alignment horizontal="center"/>
      <protection locked="0"/>
    </xf>
    <xf numFmtId="0" fontId="2" fillId="0" borderId="0" xfId="0" applyFont="1" applyProtection="1">
      <protection locked="0"/>
    </xf>
    <xf numFmtId="0" fontId="0" fillId="0" borderId="21" xfId="0" applyBorder="1" applyAlignment="1" applyProtection="1">
      <alignment horizontal="center"/>
      <protection locked="0"/>
    </xf>
    <xf numFmtId="0" fontId="20" fillId="0" borderId="43" xfId="9" applyFont="1" applyBorder="1" applyAlignment="1" applyProtection="1">
      <alignment vertical="center" wrapText="1"/>
      <protection locked="0"/>
    </xf>
    <xf numFmtId="4" fontId="5" fillId="0" borderId="43" xfId="0" applyNumberFormat="1" applyFont="1" applyBorder="1" applyAlignment="1" applyProtection="1">
      <alignment horizontal="center"/>
      <protection locked="0"/>
    </xf>
    <xf numFmtId="4" fontId="5" fillId="0" borderId="44" xfId="2" applyNumberFormat="1" applyFont="1" applyBorder="1" applyAlignment="1" applyProtection="1">
      <alignment horizontal="center"/>
      <protection locked="0"/>
    </xf>
    <xf numFmtId="4" fontId="5" fillId="0" borderId="43" xfId="2" applyNumberFormat="1" applyFont="1" applyBorder="1" applyAlignment="1" applyProtection="1">
      <alignment horizontal="center"/>
      <protection locked="0"/>
    </xf>
    <xf numFmtId="0" fontId="5" fillId="3" borderId="42" xfId="0" applyFont="1" applyFill="1" applyBorder="1" applyAlignment="1" applyProtection="1">
      <alignment horizontal="center"/>
      <protection locked="0"/>
    </xf>
    <xf numFmtId="0" fontId="18" fillId="3" borderId="45" xfId="0" applyFont="1" applyFill="1" applyBorder="1" applyAlignment="1" applyProtection="1">
      <alignment horizontal="justify" vertical="center" wrapText="1"/>
      <protection locked="0"/>
    </xf>
    <xf numFmtId="4" fontId="5" fillId="3" borderId="45" xfId="0" applyNumberFormat="1" applyFont="1" applyFill="1" applyBorder="1" applyAlignment="1" applyProtection="1">
      <alignment horizontal="center"/>
      <protection locked="0"/>
    </xf>
    <xf numFmtId="4" fontId="5" fillId="3" borderId="36" xfId="2" applyNumberFormat="1" applyFont="1" applyFill="1" applyBorder="1" applyAlignment="1" applyProtection="1">
      <alignment horizontal="center"/>
      <protection locked="0"/>
    </xf>
    <xf numFmtId="4" fontId="5" fillId="3" borderId="45" xfId="2" applyNumberFormat="1" applyFont="1" applyFill="1" applyBorder="1" applyAlignment="1" applyProtection="1">
      <alignment horizontal="center"/>
      <protection locked="0"/>
    </xf>
    <xf numFmtId="165" fontId="2" fillId="0" borderId="0" xfId="0" applyNumberFormat="1" applyFont="1" applyAlignment="1" applyProtection="1">
      <alignment horizontal="center"/>
      <protection locked="0"/>
    </xf>
    <xf numFmtId="0" fontId="11" fillId="0" borderId="17" xfId="9" applyFont="1" applyBorder="1" applyAlignment="1" applyProtection="1">
      <alignment vertical="center" wrapText="1"/>
      <protection locked="0"/>
    </xf>
    <xf numFmtId="0" fontId="2" fillId="0" borderId="0" xfId="0" applyFont="1" applyAlignment="1" applyProtection="1">
      <alignment horizontal="center"/>
      <protection locked="0"/>
    </xf>
    <xf numFmtId="0" fontId="20" fillId="3" borderId="45" xfId="0" applyFont="1" applyFill="1" applyBorder="1" applyAlignment="1" applyProtection="1">
      <alignment horizontal="justify" vertical="center" wrapText="1"/>
      <protection locked="0"/>
    </xf>
    <xf numFmtId="0" fontId="17" fillId="0" borderId="17" xfId="9" applyFont="1" applyBorder="1" applyAlignment="1" applyProtection="1">
      <alignment vertical="center" wrapText="1"/>
      <protection locked="0"/>
    </xf>
    <xf numFmtId="0" fontId="0" fillId="0" borderId="0" xfId="0" applyAlignment="1" applyProtection="1">
      <alignment horizontal="center"/>
      <protection locked="0"/>
    </xf>
    <xf numFmtId="0" fontId="5" fillId="0" borderId="54" xfId="0" applyFont="1" applyBorder="1" applyAlignment="1" applyProtection="1">
      <alignment horizontal="center" wrapText="1"/>
      <protection locked="0"/>
    </xf>
    <xf numFmtId="4" fontId="5" fillId="0" borderId="6" xfId="0" applyNumberFormat="1" applyFont="1" applyBorder="1" applyAlignment="1" applyProtection="1">
      <alignment horizontal="center" wrapText="1"/>
      <protection locked="0"/>
    </xf>
    <xf numFmtId="4" fontId="5" fillId="0" borderId="0" xfId="0" applyNumberFormat="1" applyFont="1" applyAlignment="1" applyProtection="1">
      <alignment horizontal="center" wrapText="1"/>
      <protection locked="0"/>
    </xf>
    <xf numFmtId="0" fontId="17" fillId="0" borderId="18" xfId="9" applyFont="1" applyBorder="1" applyAlignment="1" applyProtection="1">
      <alignment vertical="center" wrapText="1"/>
      <protection locked="0"/>
    </xf>
    <xf numFmtId="0" fontId="5" fillId="0" borderId="39" xfId="0" applyFont="1" applyBorder="1" applyAlignment="1" applyProtection="1">
      <alignment horizontal="center" wrapText="1"/>
      <protection locked="0"/>
    </xf>
    <xf numFmtId="0" fontId="17" fillId="0" borderId="50" xfId="9" applyFont="1" applyBorder="1" applyAlignment="1" applyProtection="1">
      <alignment vertical="center" wrapText="1"/>
      <protection locked="0"/>
    </xf>
    <xf numFmtId="4" fontId="5" fillId="0" borderId="15" xfId="0" applyNumberFormat="1" applyFont="1" applyBorder="1" applyAlignment="1" applyProtection="1">
      <alignment horizontal="center"/>
      <protection locked="0"/>
    </xf>
    <xf numFmtId="4" fontId="5" fillId="0" borderId="15" xfId="0" applyNumberFormat="1" applyFont="1" applyBorder="1" applyAlignment="1" applyProtection="1">
      <alignment horizontal="center" wrapText="1"/>
      <protection locked="0"/>
    </xf>
    <xf numFmtId="4" fontId="5" fillId="0" borderId="40" xfId="2" applyNumberFormat="1" applyFont="1" applyBorder="1" applyAlignment="1" applyProtection="1">
      <alignment horizontal="center"/>
      <protection locked="0"/>
    </xf>
    <xf numFmtId="0" fontId="5" fillId="3" borderId="42" xfId="0" applyFont="1" applyFill="1" applyBorder="1" applyAlignment="1" applyProtection="1">
      <alignment horizontal="center" wrapText="1"/>
      <protection locked="0"/>
    </xf>
    <xf numFmtId="0" fontId="5" fillId="0" borderId="37" xfId="0" applyFont="1" applyBorder="1" applyAlignment="1" applyProtection="1">
      <alignment horizontal="center" wrapText="1"/>
      <protection locked="0"/>
    </xf>
    <xf numFmtId="0" fontId="5" fillId="0" borderId="39" xfId="0" applyFont="1" applyBorder="1" applyAlignment="1" applyProtection="1">
      <alignment horizontal="center"/>
      <protection locked="0"/>
    </xf>
    <xf numFmtId="4" fontId="5" fillId="0" borderId="41" xfId="2" applyNumberFormat="1" applyFont="1" applyBorder="1" applyAlignment="1" applyProtection="1">
      <alignment horizontal="center"/>
      <protection locked="0"/>
    </xf>
    <xf numFmtId="0" fontId="5" fillId="0" borderId="50" xfId="9" applyFont="1" applyBorder="1" applyAlignment="1" applyProtection="1">
      <alignment vertical="center" wrapText="1"/>
      <protection locked="0"/>
    </xf>
    <xf numFmtId="0" fontId="0" fillId="0" borderId="54" xfId="0" applyBorder="1" applyAlignment="1" applyProtection="1">
      <alignment horizontal="center"/>
      <protection locked="0"/>
    </xf>
    <xf numFmtId="0" fontId="17" fillId="0" borderId="0" xfId="0" applyFont="1" applyAlignment="1" applyProtection="1">
      <alignment horizontal="left" wrapText="1"/>
      <protection locked="0"/>
    </xf>
    <xf numFmtId="0" fontId="20" fillId="0" borderId="18" xfId="9" applyFont="1" applyBorder="1" applyAlignment="1" applyProtection="1">
      <alignment vertical="center" wrapText="1"/>
      <protection locked="0"/>
    </xf>
    <xf numFmtId="0" fontId="17" fillId="0" borderId="0" xfId="0" applyFont="1" applyAlignment="1" applyProtection="1">
      <alignment wrapText="1"/>
      <protection locked="0"/>
    </xf>
    <xf numFmtId="0" fontId="17" fillId="0" borderId="35" xfId="0" applyFont="1" applyBorder="1" applyAlignment="1" applyProtection="1">
      <alignment horizontal="left" wrapText="1"/>
      <protection locked="0"/>
    </xf>
    <xf numFmtId="2" fontId="5" fillId="3" borderId="54" xfId="0" applyNumberFormat="1" applyFont="1" applyFill="1" applyBorder="1" applyAlignment="1" applyProtection="1">
      <alignment horizontal="center"/>
      <protection locked="0"/>
    </xf>
    <xf numFmtId="0" fontId="18" fillId="3" borderId="0" xfId="0" applyFont="1" applyFill="1" applyAlignment="1" applyProtection="1">
      <alignment horizontal="justify" vertical="center" wrapText="1"/>
      <protection locked="0"/>
    </xf>
    <xf numFmtId="4" fontId="5" fillId="3" borderId="0" xfId="0" applyNumberFormat="1" applyFont="1" applyFill="1" applyAlignment="1" applyProtection="1">
      <alignment horizontal="center"/>
      <protection locked="0"/>
    </xf>
    <xf numFmtId="4" fontId="5" fillId="3" borderId="38" xfId="2" applyNumberFormat="1" applyFont="1" applyFill="1" applyBorder="1" applyAlignment="1" applyProtection="1">
      <alignment horizontal="center"/>
      <protection locked="0"/>
    </xf>
    <xf numFmtId="4" fontId="5" fillId="3" borderId="0" xfId="2" applyNumberFormat="1" applyFont="1" applyFill="1" applyAlignment="1" applyProtection="1">
      <alignment horizontal="center"/>
      <protection locked="0"/>
    </xf>
    <xf numFmtId="0" fontId="5" fillId="0" borderId="54" xfId="0" applyFont="1" applyBorder="1" applyAlignment="1" applyProtection="1">
      <alignment horizontal="center"/>
      <protection locked="0"/>
    </xf>
    <xf numFmtId="0" fontId="20" fillId="0" borderId="1" xfId="0" applyFont="1" applyBorder="1" applyAlignment="1" applyProtection="1">
      <alignment horizontal="justify" vertical="center" wrapText="1"/>
      <protection locked="0"/>
    </xf>
    <xf numFmtId="0" fontId="5" fillId="0" borderId="53" xfId="0" applyFont="1" applyBorder="1" applyAlignment="1" applyProtection="1">
      <alignment horizontal="center" wrapText="1"/>
      <protection locked="0"/>
    </xf>
    <xf numFmtId="0" fontId="5" fillId="0" borderId="21" xfId="0" applyFont="1" applyBorder="1" applyAlignment="1" applyProtection="1">
      <alignment horizontal="center"/>
      <protection locked="0"/>
    </xf>
    <xf numFmtId="0" fontId="17" fillId="0" borderId="43" xfId="9" applyFont="1" applyBorder="1" applyAlignment="1" applyProtection="1">
      <alignment vertical="center" wrapText="1"/>
      <protection locked="0"/>
    </xf>
    <xf numFmtId="0" fontId="18" fillId="3" borderId="45" xfId="9" applyFont="1" applyFill="1" applyBorder="1" applyAlignment="1" applyProtection="1">
      <alignment vertical="center" wrapText="1"/>
      <protection locked="0"/>
    </xf>
    <xf numFmtId="4" fontId="5" fillId="0" borderId="6" xfId="0" applyNumberFormat="1" applyFont="1" applyBorder="1" applyAlignment="1" applyProtection="1">
      <alignment horizontal="center" vertical="center"/>
      <protection locked="0"/>
    </xf>
    <xf numFmtId="0" fontId="17" fillId="0" borderId="49" xfId="9" applyFont="1" applyBorder="1" applyAlignment="1" applyProtection="1">
      <alignment vertical="center" wrapText="1"/>
      <protection locked="0"/>
    </xf>
    <xf numFmtId="0" fontId="5" fillId="3" borderId="54" xfId="0" applyFont="1" applyFill="1" applyBorder="1" applyAlignment="1" applyProtection="1">
      <alignment horizontal="center"/>
      <protection locked="0"/>
    </xf>
    <xf numFmtId="0" fontId="18" fillId="3" borderId="0" xfId="9" applyFont="1" applyFill="1" applyAlignment="1" applyProtection="1">
      <alignment vertical="center" wrapText="1"/>
      <protection locked="0"/>
    </xf>
    <xf numFmtId="0" fontId="5" fillId="0" borderId="1" xfId="0" applyFont="1" applyBorder="1" applyAlignment="1" applyProtection="1">
      <alignment horizontal="center"/>
      <protection locked="0"/>
    </xf>
    <xf numFmtId="0" fontId="17" fillId="0" borderId="1" xfId="9" applyFont="1" applyBorder="1" applyAlignment="1" applyProtection="1">
      <alignment vertical="center" wrapText="1"/>
      <protection locked="0"/>
    </xf>
    <xf numFmtId="4" fontId="5" fillId="0" borderId="0" xfId="2" applyNumberFormat="1" applyFont="1" applyAlignment="1" applyProtection="1">
      <alignment horizontal="center"/>
      <protection locked="0"/>
    </xf>
    <xf numFmtId="4" fontId="5" fillId="0" borderId="56" xfId="2" applyNumberFormat="1" applyFont="1" applyBorder="1" applyAlignment="1" applyProtection="1">
      <alignment horizontal="center"/>
      <protection locked="0"/>
    </xf>
    <xf numFmtId="0" fontId="18" fillId="0" borderId="17" xfId="9" applyFont="1" applyBorder="1" applyAlignment="1" applyProtection="1">
      <alignment vertical="center" wrapText="1"/>
      <protection locked="0"/>
    </xf>
    <xf numFmtId="0" fontId="18" fillId="0" borderId="18" xfId="9" applyFont="1" applyBorder="1" applyAlignment="1" applyProtection="1">
      <alignment vertical="center" wrapText="1"/>
      <protection locked="0"/>
    </xf>
    <xf numFmtId="0" fontId="17" fillId="0" borderId="0" xfId="9" applyFont="1" applyAlignment="1" applyProtection="1">
      <alignment vertical="center" wrapText="1"/>
      <protection locked="0"/>
    </xf>
    <xf numFmtId="0" fontId="21" fillId="0" borderId="35" xfId="0" applyFont="1" applyBorder="1" applyAlignment="1" applyProtection="1">
      <alignment wrapText="1"/>
      <protection locked="0"/>
    </xf>
    <xf numFmtId="4" fontId="5" fillId="0" borderId="15" xfId="2" applyNumberFormat="1" applyFont="1" applyBorder="1" applyAlignment="1" applyProtection="1">
      <alignment horizontal="center"/>
      <protection locked="0"/>
    </xf>
    <xf numFmtId="0" fontId="21" fillId="0" borderId="0" xfId="0" applyFont="1" applyAlignment="1" applyProtection="1">
      <alignment wrapText="1"/>
      <protection locked="0"/>
    </xf>
    <xf numFmtId="4" fontId="5" fillId="0" borderId="11" xfId="2" applyNumberFormat="1" applyFont="1" applyBorder="1" applyAlignment="1" applyProtection="1">
      <alignment horizontal="center"/>
      <protection locked="0"/>
    </xf>
    <xf numFmtId="4" fontId="5" fillId="0" borderId="1" xfId="2" applyNumberFormat="1" applyFont="1" applyBorder="1" applyAlignment="1" applyProtection="1">
      <alignment horizontal="center"/>
      <protection locked="0"/>
    </xf>
    <xf numFmtId="2" fontId="5" fillId="0" borderId="1" xfId="0" applyNumberFormat="1" applyFont="1" applyBorder="1" applyAlignment="1" applyProtection="1">
      <alignment horizontal="center"/>
      <protection locked="0"/>
    </xf>
    <xf numFmtId="4" fontId="5" fillId="0" borderId="1" xfId="6" applyNumberFormat="1" applyFont="1" applyBorder="1" applyAlignment="1" applyProtection="1">
      <alignment horizontal="center"/>
      <protection locked="0"/>
    </xf>
    <xf numFmtId="4" fontId="5" fillId="0" borderId="26" xfId="6" applyNumberFormat="1" applyFont="1" applyBorder="1" applyAlignment="1" applyProtection="1">
      <alignment horizontal="center"/>
      <protection locked="0"/>
    </xf>
    <xf numFmtId="0" fontId="5" fillId="0" borderId="10" xfId="0" applyFont="1" applyBorder="1" applyAlignment="1" applyProtection="1">
      <alignment horizontal="center"/>
      <protection locked="0"/>
    </xf>
    <xf numFmtId="0" fontId="18" fillId="0" borderId="30" xfId="9" applyFont="1" applyBorder="1" applyAlignment="1" applyProtection="1">
      <alignment horizontal="center" vertical="center" wrapText="1"/>
      <protection locked="0"/>
    </xf>
    <xf numFmtId="4" fontId="5" fillId="0" borderId="6" xfId="0" applyNumberFormat="1" applyFont="1" applyBorder="1" applyAlignment="1" applyProtection="1">
      <alignment horizontal="center" vertical="center" wrapText="1"/>
      <protection locked="0"/>
    </xf>
    <xf numFmtId="4" fontId="4" fillId="0" borderId="55" xfId="6" applyNumberFormat="1" applyFont="1" applyBorder="1" applyAlignment="1" applyProtection="1">
      <alignment horizontal="center" vertical="center"/>
      <protection locked="0"/>
    </xf>
    <xf numFmtId="4" fontId="5" fillId="0" borderId="6" xfId="10" applyNumberFormat="1" applyFont="1" applyBorder="1" applyAlignment="1" applyProtection="1">
      <alignment horizontal="center" vertical="center"/>
      <protection locked="0"/>
    </xf>
    <xf numFmtId="4" fontId="4" fillId="0" borderId="27" xfId="6" applyNumberFormat="1" applyFont="1" applyBorder="1" applyAlignment="1" applyProtection="1">
      <alignment horizontal="center" vertical="center"/>
      <protection locked="0"/>
    </xf>
    <xf numFmtId="10" fontId="0" fillId="0" borderId="0" xfId="0" applyNumberFormat="1" applyProtection="1">
      <protection locked="0"/>
    </xf>
    <xf numFmtId="0" fontId="5" fillId="0" borderId="25" xfId="0" quotePrefix="1" applyFont="1" applyBorder="1" applyAlignment="1" applyProtection="1">
      <alignment horizontal="center" vertical="top"/>
      <protection locked="0"/>
    </xf>
    <xf numFmtId="0" fontId="20" fillId="0" borderId="24" xfId="0" applyFont="1" applyBorder="1" applyAlignment="1" applyProtection="1">
      <alignment horizontal="left" wrapText="1"/>
      <protection locked="0"/>
    </xf>
    <xf numFmtId="0" fontId="5" fillId="0" borderId="23" xfId="0" applyFont="1" applyBorder="1" applyAlignment="1" applyProtection="1">
      <alignment horizontal="center"/>
      <protection locked="0"/>
    </xf>
    <xf numFmtId="164" fontId="5" fillId="0" borderId="3" xfId="2" applyNumberFormat="1" applyFont="1" applyBorder="1" applyAlignment="1" applyProtection="1">
      <alignment horizontal="center"/>
      <protection locked="0"/>
    </xf>
    <xf numFmtId="164" fontId="5" fillId="0" borderId="23" xfId="2" applyNumberFormat="1" applyFont="1" applyBorder="1" applyAlignment="1" applyProtection="1">
      <alignment horizontal="center"/>
      <protection locked="0"/>
    </xf>
    <xf numFmtId="164" fontId="5" fillId="0" borderId="32" xfId="2" applyNumberFormat="1" applyFont="1" applyBorder="1" applyAlignment="1" applyProtection="1">
      <alignment horizontal="center"/>
      <protection locked="0"/>
    </xf>
    <xf numFmtId="0" fontId="5" fillId="0" borderId="0" xfId="0" applyFont="1" applyAlignment="1" applyProtection="1">
      <alignment horizontal="center"/>
      <protection locked="0"/>
    </xf>
    <xf numFmtId="164" fontId="5" fillId="0" borderId="0" xfId="2" applyNumberFormat="1" applyFont="1" applyAlignment="1" applyProtection="1">
      <alignment horizontal="center" vertical="top"/>
      <protection locked="0"/>
    </xf>
    <xf numFmtId="10" fontId="5" fillId="0" borderId="0" xfId="2" applyNumberFormat="1" applyFont="1" applyAlignment="1" applyProtection="1">
      <alignment vertical="top"/>
      <protection locked="0"/>
    </xf>
    <xf numFmtId="0" fontId="16" fillId="0" borderId="0" xfId="0" applyFont="1" applyAlignment="1" applyProtection="1">
      <alignment wrapText="1"/>
      <protection locked="0"/>
    </xf>
    <xf numFmtId="164" fontId="0" fillId="0" borderId="0" xfId="0" applyNumberFormat="1" applyAlignment="1" applyProtection="1">
      <alignment horizontal="center"/>
      <protection locked="0"/>
    </xf>
    <xf numFmtId="164" fontId="0" fillId="0" borderId="0" xfId="0" applyNumberFormat="1" applyProtection="1">
      <protection locked="0"/>
    </xf>
    <xf numFmtId="165" fontId="0" fillId="0" borderId="0" xfId="0" applyNumberFormat="1" applyProtection="1">
      <protection locked="0"/>
    </xf>
    <xf numFmtId="164" fontId="4" fillId="0" borderId="27" xfId="2" applyNumberFormat="1" applyFont="1" applyBorder="1" applyAlignment="1" applyProtection="1">
      <alignment horizontal="center" wrapText="1"/>
      <protection locked="0"/>
    </xf>
    <xf numFmtId="0" fontId="2" fillId="0" borderId="1" xfId="0" applyFont="1" applyBorder="1" applyAlignment="1" applyProtection="1">
      <alignment horizontal="center"/>
      <protection locked="0"/>
    </xf>
    <xf numFmtId="0" fontId="20" fillId="0" borderId="43" xfId="4" applyFont="1" applyBorder="1" applyAlignment="1" applyProtection="1">
      <alignment vertical="center" wrapText="1"/>
      <protection locked="0"/>
    </xf>
    <xf numFmtId="0" fontId="11" fillId="0" borderId="17" xfId="4" applyFont="1" applyBorder="1" applyAlignment="1" applyProtection="1">
      <alignment vertical="center" wrapText="1"/>
      <protection locked="0"/>
    </xf>
    <xf numFmtId="0" fontId="17" fillId="0" borderId="18" xfId="4" applyFont="1" applyBorder="1" applyAlignment="1" applyProtection="1">
      <alignment vertical="center" wrapText="1"/>
      <protection locked="0"/>
    </xf>
    <xf numFmtId="0" fontId="17" fillId="0" borderId="17" xfId="4" applyFont="1" applyBorder="1" applyAlignment="1" applyProtection="1">
      <alignment vertical="center" wrapText="1"/>
      <protection locked="0"/>
    </xf>
    <xf numFmtId="0" fontId="11" fillId="0" borderId="18" xfId="4" applyFont="1" applyBorder="1" applyAlignment="1" applyProtection="1">
      <alignment vertical="center" wrapText="1"/>
      <protection locked="0"/>
    </xf>
    <xf numFmtId="0" fontId="17" fillId="0" borderId="50" xfId="4" applyFont="1" applyBorder="1" applyAlignment="1" applyProtection="1">
      <alignment vertical="center" wrapText="1"/>
      <protection locked="0"/>
    </xf>
    <xf numFmtId="0" fontId="5" fillId="0" borderId="50" xfId="4" applyFont="1" applyBorder="1" applyAlignment="1" applyProtection="1">
      <alignment vertical="center" wrapText="1"/>
      <protection locked="0"/>
    </xf>
    <xf numFmtId="0" fontId="20" fillId="0" borderId="18" xfId="4" applyFont="1" applyBorder="1" applyAlignment="1" applyProtection="1">
      <alignment vertical="center" wrapText="1"/>
      <protection locked="0"/>
    </xf>
    <xf numFmtId="0" fontId="17" fillId="0" borderId="43" xfId="4" applyFont="1" applyBorder="1" applyAlignment="1" applyProtection="1">
      <alignment vertical="center" wrapText="1"/>
      <protection locked="0"/>
    </xf>
    <xf numFmtId="0" fontId="18" fillId="3" borderId="45" xfId="4" applyFont="1" applyFill="1" applyBorder="1" applyAlignment="1" applyProtection="1">
      <alignment vertical="center" wrapText="1"/>
      <protection locked="0"/>
    </xf>
    <xf numFmtId="0" fontId="17" fillId="0" borderId="49" xfId="4" applyFont="1" applyBorder="1" applyAlignment="1" applyProtection="1">
      <alignment vertical="center" wrapText="1"/>
      <protection locked="0"/>
    </xf>
    <xf numFmtId="0" fontId="18" fillId="3" borderId="0" xfId="4" applyFont="1" applyFill="1" applyAlignment="1" applyProtection="1">
      <alignment vertical="center" wrapText="1"/>
      <protection locked="0"/>
    </xf>
    <xf numFmtId="0" fontId="17" fillId="0" borderId="1" xfId="4" applyFont="1" applyBorder="1" applyAlignment="1" applyProtection="1">
      <alignment vertical="center" wrapText="1"/>
      <protection locked="0"/>
    </xf>
    <xf numFmtId="0" fontId="18" fillId="0" borderId="17" xfId="4" applyFont="1" applyBorder="1" applyAlignment="1" applyProtection="1">
      <alignment vertical="center" wrapText="1"/>
      <protection locked="0"/>
    </xf>
    <xf numFmtId="0" fontId="18" fillId="0" borderId="18" xfId="4" applyFont="1" applyBorder="1" applyAlignment="1" applyProtection="1">
      <alignment vertical="center" wrapText="1"/>
      <protection locked="0"/>
    </xf>
    <xf numFmtId="0" fontId="17" fillId="0" borderId="0" xfId="4" applyFont="1" applyAlignment="1" applyProtection="1">
      <alignment vertical="center" wrapText="1"/>
      <protection locked="0"/>
    </xf>
    <xf numFmtId="0" fontId="18" fillId="0" borderId="30" xfId="4" applyFont="1" applyBorder="1" applyAlignment="1" applyProtection="1">
      <alignment horizontal="center" vertical="center" wrapText="1"/>
      <protection locked="0"/>
    </xf>
    <xf numFmtId="4" fontId="5" fillId="0" borderId="6" xfId="1" applyNumberFormat="1" applyFont="1" applyBorder="1" applyAlignment="1" applyProtection="1">
      <alignment horizontal="center" vertical="center"/>
      <protection locked="0"/>
    </xf>
    <xf numFmtId="0" fontId="7" fillId="2" borderId="0" xfId="0" applyFont="1" applyFill="1" applyProtection="1">
      <protection locked="0"/>
    </xf>
    <xf numFmtId="0" fontId="7" fillId="0" borderId="55" xfId="0" applyFont="1" applyBorder="1" applyAlignment="1" applyProtection="1">
      <alignment horizontal="center"/>
      <protection locked="0"/>
    </xf>
    <xf numFmtId="164" fontId="8" fillId="0" borderId="55" xfId="0" applyNumberFormat="1" applyFont="1" applyBorder="1" applyAlignment="1">
      <alignment horizontal="center"/>
    </xf>
    <xf numFmtId="0" fontId="4" fillId="0" borderId="55" xfId="0" applyFont="1" applyBorder="1" applyAlignment="1" applyProtection="1">
      <alignment horizontal="center"/>
      <protection locked="0"/>
    </xf>
    <xf numFmtId="164" fontId="4" fillId="0" borderId="55" xfId="2" applyNumberFormat="1" applyFont="1" applyBorder="1" applyAlignment="1">
      <alignment horizontal="center"/>
    </xf>
    <xf numFmtId="0" fontId="0" fillId="2" borderId="0" xfId="0" applyFill="1" applyAlignment="1" applyProtection="1">
      <alignment vertical="center"/>
      <protection locked="0"/>
    </xf>
    <xf numFmtId="0" fontId="4" fillId="3" borderId="61" xfId="0" applyFont="1" applyFill="1" applyBorder="1" applyAlignment="1" applyProtection="1">
      <alignment horizontal="center" vertical="center" wrapText="1"/>
      <protection locked="0"/>
    </xf>
    <xf numFmtId="164" fontId="4" fillId="3" borderId="61" xfId="2" applyNumberFormat="1" applyFont="1" applyFill="1" applyBorder="1" applyAlignment="1" applyProtection="1">
      <alignment horizontal="center" vertical="center" wrapText="1"/>
      <protection locked="0"/>
    </xf>
    <xf numFmtId="164" fontId="4" fillId="3" borderId="61" xfId="2" applyNumberFormat="1" applyFont="1" applyFill="1" applyBorder="1" applyAlignment="1">
      <alignment horizontal="center" vertical="center" wrapText="1"/>
    </xf>
    <xf numFmtId="164" fontId="4" fillId="3" borderId="55" xfId="2" applyNumberFormat="1" applyFont="1" applyFill="1" applyBorder="1" applyAlignment="1">
      <alignment horizontal="center" vertical="center" wrapText="1"/>
    </xf>
    <xf numFmtId="171" fontId="5" fillId="0" borderId="55" xfId="0" applyNumberFormat="1" applyFont="1" applyBorder="1" applyAlignment="1" applyProtection="1">
      <alignment horizontal="left" vertical="center"/>
      <protection locked="0"/>
    </xf>
    <xf numFmtId="165" fontId="5" fillId="0" borderId="55" xfId="0" applyNumberFormat="1" applyFont="1" applyBorder="1" applyAlignment="1" applyProtection="1">
      <alignment horizontal="left" vertical="center"/>
      <protection locked="0"/>
    </xf>
    <xf numFmtId="165" fontId="5" fillId="0" borderId="55" xfId="2" applyNumberFormat="1" applyFont="1" applyBorder="1" applyAlignment="1">
      <alignment horizontal="left" vertical="center"/>
    </xf>
    <xf numFmtId="165" fontId="5" fillId="0" borderId="3" xfId="0" applyNumberFormat="1" applyFont="1" applyBorder="1" applyAlignment="1" applyProtection="1">
      <alignment horizontal="left" vertical="center"/>
      <protection locked="0"/>
    </xf>
    <xf numFmtId="172" fontId="5" fillId="0" borderId="55" xfId="0" applyNumberFormat="1" applyFont="1" applyBorder="1" applyAlignment="1" applyProtection="1">
      <alignment horizontal="left" vertical="center"/>
      <protection locked="0"/>
    </xf>
    <xf numFmtId="165" fontId="0" fillId="0" borderId="0" xfId="0" applyNumberFormat="1" applyAlignment="1">
      <alignment vertical="center"/>
    </xf>
    <xf numFmtId="165" fontId="0" fillId="2" borderId="0" xfId="0" applyNumberFormat="1" applyFill="1" applyAlignment="1" applyProtection="1">
      <alignment vertical="center"/>
      <protection locked="0"/>
    </xf>
    <xf numFmtId="0" fontId="0" fillId="0" borderId="0" xfId="0" applyAlignment="1" applyProtection="1">
      <alignment vertical="center"/>
      <protection locked="0"/>
    </xf>
    <xf numFmtId="172" fontId="5" fillId="2" borderId="55" xfId="0" applyNumberFormat="1" applyFont="1" applyFill="1" applyBorder="1" applyAlignment="1" applyProtection="1">
      <alignment horizontal="left" vertical="center"/>
      <protection locked="0"/>
    </xf>
    <xf numFmtId="172" fontId="5" fillId="0" borderId="5" xfId="0" applyNumberFormat="1" applyFont="1" applyBorder="1" applyAlignment="1" applyProtection="1">
      <alignment horizontal="left" vertical="center"/>
      <protection locked="0"/>
    </xf>
    <xf numFmtId="165" fontId="4" fillId="0" borderId="20" xfId="6" applyNumberFormat="1" applyFont="1" applyBorder="1" applyAlignment="1">
      <alignment horizontal="left" vertical="center"/>
    </xf>
    <xf numFmtId="164" fontId="4" fillId="0" borderId="23" xfId="2" applyNumberFormat="1" applyFont="1" applyBorder="1" applyAlignment="1">
      <alignment horizontal="center" vertical="center" wrapText="1"/>
    </xf>
    <xf numFmtId="164" fontId="4" fillId="0" borderId="3" xfId="2" applyNumberFormat="1" applyFont="1" applyBorder="1" applyAlignment="1">
      <alignment horizontal="center" vertical="center" wrapText="1"/>
    </xf>
    <xf numFmtId="171" fontId="5" fillId="2" borderId="55" xfId="0" applyNumberFormat="1" applyFont="1" applyFill="1" applyBorder="1" applyAlignment="1" applyProtection="1">
      <alignment horizontal="left" vertical="center"/>
      <protection locked="0"/>
    </xf>
    <xf numFmtId="0" fontId="4" fillId="3" borderId="55" xfId="0" applyFont="1" applyFill="1" applyBorder="1" applyAlignment="1" applyProtection="1">
      <alignment horizontal="center"/>
      <protection locked="0"/>
    </xf>
    <xf numFmtId="164" fontId="4" fillId="3" borderId="55" xfId="2" applyNumberFormat="1" applyFont="1" applyFill="1" applyBorder="1" applyAlignment="1">
      <alignment horizontal="center"/>
    </xf>
    <xf numFmtId="0" fontId="4" fillId="3" borderId="23" xfId="0" applyFont="1" applyFill="1" applyBorder="1" applyAlignment="1" applyProtection="1">
      <alignment horizontal="center" vertical="center" wrapText="1"/>
      <protection locked="0"/>
    </xf>
    <xf numFmtId="164" fontId="4" fillId="3" borderId="23" xfId="2" applyNumberFormat="1" applyFont="1" applyFill="1" applyBorder="1" applyAlignment="1" applyProtection="1">
      <alignment horizontal="center" vertical="center" wrapText="1"/>
      <protection locked="0"/>
    </xf>
    <xf numFmtId="164" fontId="4" fillId="3" borderId="23" xfId="2" applyNumberFormat="1" applyFont="1" applyFill="1" applyBorder="1" applyAlignment="1">
      <alignment horizontal="center" vertical="center" wrapText="1"/>
    </xf>
    <xf numFmtId="164" fontId="4" fillId="3" borderId="3" xfId="2" applyNumberFormat="1" applyFont="1" applyFill="1" applyBorder="1" applyAlignment="1">
      <alignment horizontal="center" vertical="center" wrapText="1"/>
    </xf>
    <xf numFmtId="0" fontId="17" fillId="2" borderId="62" xfId="0" applyFont="1" applyFill="1" applyBorder="1" applyAlignment="1" applyProtection="1">
      <alignment vertical="center"/>
      <protection locked="0"/>
    </xf>
    <xf numFmtId="4" fontId="5" fillId="2" borderId="55" xfId="0" applyNumberFormat="1" applyFont="1" applyFill="1" applyBorder="1" applyAlignment="1" applyProtection="1">
      <alignment horizontal="center" vertical="center"/>
      <protection locked="0"/>
    </xf>
    <xf numFmtId="171" fontId="5" fillId="0" borderId="55" xfId="0" applyNumberFormat="1" applyFont="1" applyBorder="1" applyAlignment="1" applyProtection="1">
      <alignment horizontal="center" vertical="center"/>
      <protection locked="0"/>
    </xf>
    <xf numFmtId="0" fontId="0" fillId="2" borderId="0" xfId="0" applyFill="1" applyAlignment="1" applyProtection="1">
      <alignment horizontal="center"/>
      <protection locked="0"/>
    </xf>
    <xf numFmtId="164" fontId="4" fillId="0" borderId="57" xfId="2" applyNumberFormat="1" applyFont="1" applyBorder="1" applyAlignment="1">
      <alignment horizontal="center" vertical="center" wrapText="1"/>
    </xf>
    <xf numFmtId="0" fontId="4" fillId="0" borderId="65" xfId="0" applyFont="1" applyBorder="1" applyAlignment="1" applyProtection="1">
      <alignment horizontal="center"/>
      <protection locked="0"/>
    </xf>
    <xf numFmtId="164" fontId="4" fillId="0" borderId="65" xfId="2" applyNumberFormat="1" applyFont="1" applyBorder="1" applyAlignment="1">
      <alignment horizontal="center"/>
    </xf>
    <xf numFmtId="164" fontId="4" fillId="0" borderId="60" xfId="2" applyNumberFormat="1" applyFont="1" applyBorder="1" applyAlignment="1">
      <alignment horizontal="center"/>
    </xf>
    <xf numFmtId="0" fontId="5" fillId="0" borderId="55" xfId="0" applyFont="1" applyBorder="1" applyAlignment="1" applyProtection="1">
      <alignment horizontal="center" vertical="center"/>
      <protection locked="0"/>
    </xf>
    <xf numFmtId="4" fontId="5" fillId="0" borderId="55" xfId="0" applyNumberFormat="1" applyFont="1" applyBorder="1" applyAlignment="1" applyProtection="1">
      <alignment horizontal="center" vertical="center"/>
      <protection locked="0"/>
    </xf>
    <xf numFmtId="164" fontId="5" fillId="0" borderId="55" xfId="2" applyNumberFormat="1" applyFont="1" applyBorder="1" applyAlignment="1">
      <alignment horizontal="center" vertical="center"/>
    </xf>
    <xf numFmtId="0" fontId="4" fillId="3" borderId="65" xfId="0" applyFont="1" applyFill="1" applyBorder="1" applyAlignment="1" applyProtection="1">
      <alignment horizontal="center"/>
      <protection locked="0"/>
    </xf>
    <xf numFmtId="164" fontId="4" fillId="3" borderId="65" xfId="2" applyNumberFormat="1" applyFont="1" applyFill="1" applyBorder="1" applyAlignment="1">
      <alignment horizontal="center"/>
    </xf>
    <xf numFmtId="164" fontId="4" fillId="3" borderId="60" xfId="2" applyNumberFormat="1" applyFont="1" applyFill="1" applyBorder="1" applyAlignment="1">
      <alignment horizontal="center"/>
    </xf>
    <xf numFmtId="164" fontId="4" fillId="3" borderId="57" xfId="2" applyNumberFormat="1" applyFont="1" applyFill="1" applyBorder="1" applyAlignment="1">
      <alignment horizontal="center" vertical="center" wrapText="1"/>
    </xf>
    <xf numFmtId="4" fontId="5" fillId="3" borderId="55" xfId="0" applyNumberFormat="1" applyFont="1" applyFill="1" applyBorder="1" applyAlignment="1" applyProtection="1">
      <alignment horizontal="center" vertical="center"/>
      <protection locked="0"/>
    </xf>
    <xf numFmtId="0" fontId="5" fillId="3" borderId="55" xfId="0" applyFont="1" applyFill="1" applyBorder="1" applyAlignment="1" applyProtection="1">
      <alignment horizontal="center" vertical="center"/>
      <protection locked="0"/>
    </xf>
    <xf numFmtId="164" fontId="5" fillId="3" borderId="55" xfId="2" applyNumberFormat="1" applyFont="1" applyFill="1" applyBorder="1" applyAlignment="1">
      <alignment horizontal="center" vertical="center"/>
    </xf>
    <xf numFmtId="165" fontId="4" fillId="0" borderId="70" xfId="6" applyNumberFormat="1" applyFont="1" applyBorder="1" applyAlignment="1">
      <alignment horizontal="left" vertical="center"/>
    </xf>
    <xf numFmtId="0" fontId="4" fillId="0" borderId="68" xfId="0" applyFont="1" applyBorder="1" applyAlignment="1" applyProtection="1">
      <alignment horizontal="center"/>
      <protection locked="0"/>
    </xf>
    <xf numFmtId="164" fontId="4" fillId="0" borderId="68" xfId="2" applyNumberFormat="1" applyFont="1" applyBorder="1" applyAlignment="1">
      <alignment horizontal="center"/>
    </xf>
    <xf numFmtId="164" fontId="4" fillId="0" borderId="4" xfId="2" applyNumberFormat="1" applyFont="1" applyBorder="1" applyAlignment="1">
      <alignment horizontal="center"/>
    </xf>
    <xf numFmtId="164" fontId="4" fillId="0" borderId="23" xfId="2" applyNumberFormat="1" applyFont="1" applyBorder="1" applyAlignment="1" applyProtection="1">
      <alignment horizontal="center" wrapText="1"/>
      <protection locked="0"/>
    </xf>
    <xf numFmtId="0" fontId="4" fillId="3" borderId="55" xfId="0" applyFont="1" applyFill="1" applyBorder="1" applyAlignment="1" applyProtection="1">
      <alignment horizontal="center" wrapText="1"/>
      <protection locked="0"/>
    </xf>
    <xf numFmtId="164" fontId="4" fillId="3" borderId="55" xfId="2" applyNumberFormat="1" applyFont="1" applyFill="1" applyBorder="1" applyAlignment="1" applyProtection="1">
      <alignment horizontal="center" wrapText="1"/>
      <protection locked="0"/>
    </xf>
    <xf numFmtId="0" fontId="0" fillId="2" borderId="0" xfId="0" applyFill="1" applyAlignment="1" applyProtection="1">
      <alignment horizontal="left"/>
      <protection locked="0"/>
    </xf>
    <xf numFmtId="4" fontId="5" fillId="6" borderId="5" xfId="0" applyNumberFormat="1" applyFont="1" applyFill="1" applyBorder="1" applyAlignment="1" applyProtection="1">
      <alignment horizontal="center" vertical="center"/>
      <protection locked="0"/>
    </xf>
    <xf numFmtId="0" fontId="11" fillId="0" borderId="35" xfId="0" applyFont="1" applyBorder="1" applyAlignment="1" applyProtection="1">
      <alignment horizontal="left" wrapText="1"/>
      <protection locked="0"/>
    </xf>
    <xf numFmtId="0" fontId="11" fillId="0" borderId="14" xfId="4" applyFont="1" applyBorder="1" applyAlignment="1" applyProtection="1">
      <alignment vertical="center" wrapText="1"/>
      <protection locked="0"/>
    </xf>
    <xf numFmtId="44" fontId="0" fillId="0" borderId="0" xfId="0" applyNumberFormat="1" applyProtection="1">
      <protection locked="0"/>
    </xf>
    <xf numFmtId="0" fontId="2" fillId="2" borderId="0" xfId="0" applyFont="1" applyFill="1" applyProtection="1">
      <protection locked="0"/>
    </xf>
    <xf numFmtId="0" fontId="2" fillId="2" borderId="0" xfId="0" applyFont="1" applyFill="1"/>
    <xf numFmtId="0" fontId="17" fillId="6" borderId="55" xfId="0" applyFont="1" applyFill="1" applyBorder="1" applyAlignment="1">
      <alignment horizontal="center"/>
    </xf>
    <xf numFmtId="0" fontId="11" fillId="6" borderId="55" xfId="0" applyFont="1" applyFill="1" applyBorder="1" applyAlignment="1">
      <alignment horizontal="center" vertical="center"/>
    </xf>
    <xf numFmtId="44" fontId="11" fillId="6" borderId="55" xfId="8" applyNumberFormat="1" applyFont="1" applyFill="1" applyBorder="1" applyAlignment="1" applyProtection="1">
      <alignment horizontal="center"/>
      <protection locked="0"/>
    </xf>
    <xf numFmtId="44" fontId="5" fillId="6" borderId="55" xfId="0" applyNumberFormat="1" applyFont="1" applyFill="1" applyBorder="1" applyProtection="1">
      <protection locked="0"/>
    </xf>
    <xf numFmtId="0" fontId="5" fillId="2" borderId="55" xfId="5" applyFont="1" applyFill="1" applyBorder="1" applyAlignment="1">
      <alignment horizontal="center" vertical="center" wrapText="1"/>
    </xf>
    <xf numFmtId="171" fontId="4" fillId="2" borderId="55" xfId="5" applyNumberFormat="1" applyFont="1" applyFill="1" applyBorder="1" applyAlignment="1" applyProtection="1">
      <alignment horizontal="center" vertical="center"/>
      <protection locked="0"/>
    </xf>
    <xf numFmtId="0" fontId="5" fillId="2" borderId="0" xfId="5" applyFont="1" applyFill="1" applyAlignment="1">
      <alignment horizontal="center" vertical="center" wrapText="1"/>
    </xf>
    <xf numFmtId="4" fontId="5" fillId="2" borderId="10" xfId="5" applyNumberFormat="1" applyFont="1" applyFill="1" applyBorder="1" applyAlignment="1" applyProtection="1">
      <alignment horizontal="center" vertical="center" wrapText="1"/>
      <protection locked="0"/>
    </xf>
    <xf numFmtId="168" fontId="4" fillId="0" borderId="27" xfId="2" applyNumberFormat="1" applyFont="1" applyBorder="1" applyAlignment="1" applyProtection="1">
      <alignment horizontal="center" wrapText="1"/>
      <protection locked="0"/>
    </xf>
    <xf numFmtId="164" fontId="0" fillId="0" borderId="0" xfId="0" applyNumberFormat="1" applyAlignment="1">
      <alignment horizontal="center"/>
    </xf>
    <xf numFmtId="164" fontId="0" fillId="0" borderId="24" xfId="0" applyNumberFormat="1" applyBorder="1" applyAlignment="1">
      <alignment horizontal="center"/>
    </xf>
    <xf numFmtId="0" fontId="26" fillId="0" borderId="21" xfId="0" applyFont="1" applyBorder="1" applyAlignment="1">
      <alignment horizontal="left" vertical="top"/>
    </xf>
    <xf numFmtId="0" fontId="5" fillId="0" borderId="43" xfId="0" applyFont="1" applyBorder="1" applyAlignment="1">
      <alignment horizontal="left" vertical="top"/>
    </xf>
    <xf numFmtId="0" fontId="5" fillId="0" borderId="44" xfId="0" applyFont="1" applyBorder="1" applyAlignment="1">
      <alignment horizontal="left" vertical="top"/>
    </xf>
    <xf numFmtId="0" fontId="5" fillId="2" borderId="42" xfId="5" applyFont="1" applyFill="1" applyBorder="1" applyAlignment="1">
      <alignment horizontal="left" vertical="top" wrapText="1"/>
    </xf>
    <xf numFmtId="0" fontId="5" fillId="2" borderId="45" xfId="5" applyFont="1" applyFill="1" applyBorder="1" applyAlignment="1">
      <alignment horizontal="left" vertical="top" wrapText="1"/>
    </xf>
    <xf numFmtId="0" fontId="5" fillId="2" borderId="36" xfId="5" applyFont="1" applyFill="1" applyBorder="1" applyAlignment="1">
      <alignment horizontal="left" vertical="top" wrapText="1"/>
    </xf>
    <xf numFmtId="0" fontId="5" fillId="2" borderId="54" xfId="5" applyFont="1" applyFill="1" applyBorder="1" applyAlignment="1">
      <alignment horizontal="left" vertical="top" wrapText="1"/>
    </xf>
    <xf numFmtId="0" fontId="5" fillId="2" borderId="0" xfId="5" applyFont="1" applyFill="1" applyAlignment="1">
      <alignment horizontal="left" vertical="top" wrapText="1"/>
    </xf>
    <xf numFmtId="0" fontId="5" fillId="2" borderId="38" xfId="5" applyFont="1" applyFill="1" applyBorder="1" applyAlignment="1">
      <alignment horizontal="left" vertical="top" wrapText="1"/>
    </xf>
    <xf numFmtId="0" fontId="5" fillId="2" borderId="53" xfId="5" applyFont="1" applyFill="1" applyBorder="1" applyAlignment="1">
      <alignment horizontal="left" vertical="top" wrapText="1"/>
    </xf>
    <xf numFmtId="0" fontId="5" fillId="2" borderId="35" xfId="5" applyFont="1" applyFill="1" applyBorder="1" applyAlignment="1">
      <alignment horizontal="left" vertical="top" wrapText="1"/>
    </xf>
    <xf numFmtId="0" fontId="5" fillId="2" borderId="41" xfId="5" applyFont="1" applyFill="1" applyBorder="1" applyAlignment="1">
      <alignment horizontal="left" vertical="top" wrapText="1"/>
    </xf>
    <xf numFmtId="0" fontId="5" fillId="0" borderId="61" xfId="0" applyFont="1" applyBorder="1" applyAlignment="1">
      <alignment horizontal="center" vertical="center" wrapText="1"/>
    </xf>
    <xf numFmtId="0" fontId="0" fillId="0" borderId="62" xfId="0" applyBorder="1"/>
    <xf numFmtId="0" fontId="0" fillId="0" borderId="62" xfId="0" applyBorder="1" applyProtection="1">
      <protection locked="0"/>
    </xf>
    <xf numFmtId="0" fontId="8" fillId="0" borderId="65" xfId="0" applyFont="1" applyBorder="1" applyAlignment="1">
      <alignment horizontal="left" vertical="center"/>
    </xf>
    <xf numFmtId="0" fontId="0" fillId="0" borderId="67" xfId="0" applyBorder="1"/>
    <xf numFmtId="0" fontId="0" fillId="0" borderId="67" xfId="0" applyBorder="1" applyProtection="1">
      <protection locked="0"/>
    </xf>
    <xf numFmtId="0" fontId="0" fillId="0" borderId="66" xfId="0" applyBorder="1"/>
    <xf numFmtId="0" fontId="8" fillId="0" borderId="55" xfId="0" applyFont="1" applyBorder="1" applyAlignment="1">
      <alignment horizontal="left"/>
    </xf>
    <xf numFmtId="0" fontId="0" fillId="0" borderId="58" xfId="0" applyBorder="1"/>
    <xf numFmtId="0" fontId="5" fillId="0" borderId="55" xfId="0" applyFont="1" applyBorder="1" applyAlignment="1">
      <alignment horizontal="center" vertical="center"/>
    </xf>
    <xf numFmtId="0" fontId="4" fillId="0" borderId="55" xfId="0" applyFont="1" applyBorder="1" applyAlignment="1">
      <alignment horizontal="center" vertical="center"/>
    </xf>
    <xf numFmtId="0" fontId="0" fillId="0" borderId="8" xfId="0" applyBorder="1"/>
    <xf numFmtId="0" fontId="0" fillId="0" borderId="8" xfId="0" applyBorder="1" applyProtection="1">
      <protection locked="0"/>
    </xf>
    <xf numFmtId="0" fontId="0" fillId="0" borderId="9" xfId="0" applyBorder="1"/>
    <xf numFmtId="0" fontId="0" fillId="0" borderId="6" xfId="0" applyBorder="1"/>
    <xf numFmtId="0" fontId="0" fillId="0" borderId="0" xfId="0" applyAlignment="1">
      <alignment horizontal="center" vertical="center"/>
    </xf>
    <xf numFmtId="0" fontId="0" fillId="0" borderId="0" xfId="0" applyProtection="1">
      <protection locked="0"/>
    </xf>
    <xf numFmtId="0" fontId="0" fillId="0" borderId="10" xfId="0" applyBorder="1"/>
    <xf numFmtId="0" fontId="0" fillId="0" borderId="23" xfId="0" applyBorder="1"/>
    <xf numFmtId="0" fontId="0" fillId="0" borderId="24" xfId="0" applyBorder="1"/>
    <xf numFmtId="0" fontId="0" fillId="0" borderId="24" xfId="0" applyBorder="1" applyProtection="1">
      <protection locked="0"/>
    </xf>
    <xf numFmtId="0" fontId="0" fillId="0" borderId="25" xfId="0" applyBorder="1"/>
    <xf numFmtId="1" fontId="8" fillId="0" borderId="55" xfId="0" applyNumberFormat="1" applyFont="1" applyBorder="1" applyAlignment="1">
      <alignment horizontal="left"/>
    </xf>
    <xf numFmtId="0" fontId="4" fillId="2" borderId="61" xfId="5" applyFont="1" applyFill="1" applyBorder="1" applyAlignment="1">
      <alignment horizontal="left" vertical="center" wrapText="1"/>
    </xf>
    <xf numFmtId="0" fontId="4" fillId="2" borderId="58" xfId="5" applyFont="1" applyFill="1" applyBorder="1" applyAlignment="1">
      <alignment horizontal="left" vertical="center" wrapText="1"/>
    </xf>
    <xf numFmtId="0" fontId="26" fillId="2" borderId="12" xfId="5" applyFont="1" applyFill="1" applyBorder="1" applyAlignment="1">
      <alignment horizontal="left" vertical="center" wrapText="1"/>
    </xf>
    <xf numFmtId="0" fontId="26" fillId="2" borderId="45" xfId="5" applyFont="1" applyFill="1" applyBorder="1" applyAlignment="1">
      <alignment horizontal="left" vertical="center" wrapText="1"/>
    </xf>
    <xf numFmtId="0" fontId="26" fillId="2" borderId="13" xfId="5" applyFont="1" applyFill="1" applyBorder="1" applyAlignment="1">
      <alignment horizontal="left" vertical="center" wrapText="1"/>
    </xf>
    <xf numFmtId="49" fontId="4" fillId="2" borderId="1" xfId="5" applyNumberFormat="1" applyFont="1" applyFill="1" applyBorder="1" applyAlignment="1">
      <alignment horizontal="left" vertical="top"/>
    </xf>
    <xf numFmtId="0" fontId="5" fillId="0" borderId="0" xfId="5" applyFont="1" applyAlignment="1">
      <alignment horizontal="left" vertical="top" wrapText="1"/>
    </xf>
    <xf numFmtId="0" fontId="5" fillId="0" borderId="0" xfId="5" applyFont="1" applyAlignment="1">
      <alignment horizontal="center" vertical="top"/>
    </xf>
    <xf numFmtId="0" fontId="0" fillId="0" borderId="10" xfId="0" applyBorder="1" applyProtection="1">
      <protection locked="0"/>
    </xf>
    <xf numFmtId="0" fontId="4" fillId="2" borderId="19" xfId="5" applyFont="1" applyFill="1" applyBorder="1" applyAlignment="1">
      <alignment horizontal="left" vertical="center" wrapText="1"/>
    </xf>
    <xf numFmtId="0" fontId="0" fillId="0" borderId="34" xfId="0" applyBorder="1"/>
    <xf numFmtId="0" fontId="4" fillId="2" borderId="18" xfId="5" applyFont="1" applyFill="1" applyBorder="1" applyAlignment="1">
      <alignment horizontal="left" vertical="center" wrapText="1"/>
    </xf>
    <xf numFmtId="0" fontId="0" fillId="0" borderId="30" xfId="0" applyBorder="1"/>
    <xf numFmtId="0" fontId="18" fillId="2" borderId="18" xfId="5" applyFont="1" applyFill="1" applyBorder="1" applyAlignment="1">
      <alignment horizontal="left" vertical="center" wrapText="1"/>
    </xf>
    <xf numFmtId="0" fontId="5" fillId="2" borderId="74" xfId="5" applyFont="1" applyFill="1" applyBorder="1" applyAlignment="1">
      <alignment horizontal="left" vertical="center" wrapText="1"/>
    </xf>
    <xf numFmtId="0" fontId="0" fillId="0" borderId="33" xfId="0" applyBorder="1"/>
    <xf numFmtId="0" fontId="27" fillId="0" borderId="21" xfId="0" applyFont="1" applyBorder="1" applyAlignment="1">
      <alignment horizontal="left" vertical="top" wrapText="1"/>
    </xf>
    <xf numFmtId="0" fontId="27" fillId="0" borderId="43" xfId="0" applyFont="1" applyBorder="1" applyAlignment="1">
      <alignment horizontal="left" vertical="top" wrapText="1"/>
    </xf>
    <xf numFmtId="0" fontId="27" fillId="0" borderId="44" xfId="0" applyFont="1" applyBorder="1" applyAlignment="1">
      <alignment horizontal="left" vertical="top" wrapText="1"/>
    </xf>
    <xf numFmtId="0" fontId="0" fillId="0" borderId="0" xfId="0" applyAlignment="1">
      <alignment horizontal="center"/>
    </xf>
    <xf numFmtId="0" fontId="0" fillId="0" borderId="20" xfId="0" applyBorder="1" applyAlignment="1">
      <alignment horizontal="center"/>
    </xf>
    <xf numFmtId="0" fontId="0" fillId="0" borderId="43" xfId="0" applyBorder="1"/>
    <xf numFmtId="0" fontId="0" fillId="0" borderId="44" xfId="0" applyBorder="1" applyProtection="1">
      <protection locked="0"/>
    </xf>
    <xf numFmtId="0" fontId="7" fillId="2" borderId="55" xfId="0" applyFont="1" applyFill="1" applyBorder="1" applyAlignment="1">
      <alignment horizontal="center"/>
    </xf>
    <xf numFmtId="0" fontId="0" fillId="0" borderId="58" xfId="0" applyBorder="1" applyProtection="1">
      <protection locked="0"/>
    </xf>
    <xf numFmtId="0" fontId="8" fillId="2" borderId="55" xfId="0" applyFont="1" applyFill="1" applyBorder="1" applyAlignment="1">
      <alignment horizontal="left"/>
    </xf>
    <xf numFmtId="0" fontId="5" fillId="6" borderId="55" xfId="0" applyFont="1" applyFill="1" applyBorder="1" applyAlignment="1">
      <alignment horizontal="center"/>
    </xf>
    <xf numFmtId="0" fontId="0" fillId="6" borderId="8" xfId="0" applyFill="1" applyBorder="1"/>
    <xf numFmtId="0" fontId="0" fillId="6" borderId="8" xfId="0" applyFill="1" applyBorder="1" applyProtection="1">
      <protection locked="0"/>
    </xf>
    <xf numFmtId="0" fontId="0" fillId="6" borderId="9" xfId="0" applyFill="1" applyBorder="1" applyProtection="1">
      <protection locked="0"/>
    </xf>
    <xf numFmtId="0" fontId="0" fillId="6" borderId="6" xfId="0" applyFill="1" applyBorder="1"/>
    <xf numFmtId="0" fontId="2" fillId="6" borderId="0" xfId="0" applyFont="1" applyFill="1"/>
    <xf numFmtId="0" fontId="0" fillId="6" borderId="0" xfId="0" applyFill="1" applyProtection="1">
      <protection locked="0"/>
    </xf>
    <xf numFmtId="0" fontId="0" fillId="6" borderId="10" xfId="0" applyFill="1" applyBorder="1" applyProtection="1">
      <protection locked="0"/>
    </xf>
    <xf numFmtId="0" fontId="0" fillId="6" borderId="23" xfId="0" applyFill="1" applyBorder="1"/>
    <xf numFmtId="0" fontId="0" fillId="6" borderId="24" xfId="0" applyFill="1" applyBorder="1"/>
    <xf numFmtId="0" fontId="0" fillId="6" borderId="24" xfId="0" applyFill="1" applyBorder="1" applyProtection="1">
      <protection locked="0"/>
    </xf>
    <xf numFmtId="0" fontId="0" fillId="6" borderId="25" xfId="0" applyFill="1" applyBorder="1" applyProtection="1">
      <protection locked="0"/>
    </xf>
    <xf numFmtId="1" fontId="8" fillId="0" borderId="0" xfId="0" applyNumberFormat="1" applyFont="1" applyProtection="1">
      <protection locked="0"/>
    </xf>
    <xf numFmtId="0" fontId="8" fillId="0" borderId="0" xfId="0" applyFont="1" applyProtection="1">
      <protection locked="0"/>
    </xf>
    <xf numFmtId="0" fontId="5" fillId="0" borderId="22" xfId="0" applyFont="1" applyBorder="1" applyAlignment="1">
      <alignment horizontal="center" vertical="center" wrapText="1"/>
    </xf>
    <xf numFmtId="0" fontId="0" fillId="0" borderId="43" xfId="0" applyBorder="1" applyProtection="1">
      <protection locked="0"/>
    </xf>
    <xf numFmtId="0" fontId="0" fillId="0" borderId="73" xfId="0" applyBorder="1"/>
    <xf numFmtId="0" fontId="5" fillId="3" borderId="55" xfId="0" applyFont="1" applyFill="1" applyBorder="1" applyAlignment="1">
      <alignment horizontal="center" vertical="center"/>
    </xf>
    <xf numFmtId="0" fontId="4" fillId="3" borderId="55" xfId="0" applyFont="1" applyFill="1" applyBorder="1" applyAlignment="1">
      <alignment horizontal="center" vertical="center"/>
    </xf>
    <xf numFmtId="4" fontId="5" fillId="3" borderId="55" xfId="2" applyNumberFormat="1" applyFont="1" applyFill="1" applyBorder="1" applyAlignment="1">
      <alignment horizontal="center" vertical="center"/>
    </xf>
    <xf numFmtId="172" fontId="5" fillId="3" borderId="55" xfId="2" applyNumberFormat="1" applyFont="1" applyFill="1" applyBorder="1" applyAlignment="1">
      <alignment horizontal="center" vertical="center"/>
    </xf>
    <xf numFmtId="0" fontId="0" fillId="0" borderId="0" xfId="0" applyAlignment="1">
      <alignment vertical="center"/>
    </xf>
    <xf numFmtId="0" fontId="8" fillId="0" borderId="55" xfId="0" applyFont="1" applyBorder="1" applyAlignment="1">
      <alignment horizontal="left" vertical="center"/>
    </xf>
    <xf numFmtId="171" fontId="5" fillId="3" borderId="55" xfId="2" applyNumberFormat="1" applyFont="1" applyFill="1" applyBorder="1" applyAlignment="1">
      <alignment horizontal="center" vertical="center"/>
    </xf>
    <xf numFmtId="0" fontId="5" fillId="2" borderId="61" xfId="0" applyFont="1" applyFill="1" applyBorder="1" applyAlignment="1">
      <alignment horizontal="center" vertical="center"/>
    </xf>
    <xf numFmtId="0" fontId="27" fillId="0" borderId="21" xfId="0" applyFont="1" applyBorder="1" applyAlignment="1">
      <alignment horizontal="left" vertical="top"/>
    </xf>
    <xf numFmtId="0" fontId="0" fillId="0" borderId="43" xfId="0" applyBorder="1" applyAlignment="1">
      <alignment horizontal="left" vertical="top"/>
    </xf>
    <xf numFmtId="0" fontId="0" fillId="0" borderId="44" xfId="0" applyBorder="1" applyAlignment="1">
      <alignment horizontal="left" vertical="top"/>
    </xf>
    <xf numFmtId="0" fontId="5" fillId="0" borderId="75" xfId="0" applyFont="1" applyBorder="1" applyAlignment="1">
      <alignment horizontal="center" vertical="center" wrapText="1"/>
    </xf>
    <xf numFmtId="0" fontId="0" fillId="0" borderId="72" xfId="0" applyBorder="1"/>
    <xf numFmtId="0" fontId="4" fillId="7" borderId="55" xfId="0" applyFont="1" applyFill="1" applyBorder="1" applyAlignment="1">
      <alignment horizontal="center" vertical="center"/>
    </xf>
    <xf numFmtId="0" fontId="5" fillId="2" borderId="55" xfId="0" applyFont="1" applyFill="1" applyBorder="1" applyAlignment="1">
      <alignment horizontal="center" vertical="center"/>
    </xf>
    <xf numFmtId="0" fontId="23" fillId="0" borderId="21" xfId="4" applyFont="1" applyBorder="1" applyAlignment="1">
      <alignment horizontal="left" vertical="top" wrapText="1"/>
    </xf>
    <xf numFmtId="0" fontId="23" fillId="0" borderId="43" xfId="4" applyFont="1" applyBorder="1" applyAlignment="1">
      <alignment horizontal="left" vertical="top" wrapText="1"/>
    </xf>
    <xf numFmtId="0" fontId="23" fillId="0" borderId="44" xfId="4" applyFont="1" applyBorder="1" applyAlignment="1">
      <alignment horizontal="left" vertical="top" wrapText="1"/>
    </xf>
    <xf numFmtId="0" fontId="8" fillId="2" borderId="55" xfId="0" applyFont="1" applyFill="1" applyBorder="1" applyAlignment="1">
      <alignment horizontal="left" vertical="center"/>
    </xf>
    <xf numFmtId="0" fontId="17" fillId="0" borderId="55" xfId="0" applyFont="1" applyBorder="1" applyAlignment="1">
      <alignment horizontal="center" vertical="center"/>
    </xf>
    <xf numFmtId="0" fontId="5" fillId="3" borderId="70" xfId="0" applyFont="1" applyFill="1" applyBorder="1" applyAlignment="1">
      <alignment horizontal="center" vertical="center"/>
    </xf>
    <xf numFmtId="0" fontId="0" fillId="0" borderId="45" xfId="0" applyBorder="1"/>
    <xf numFmtId="0" fontId="0" fillId="0" borderId="45" xfId="0" applyBorder="1" applyProtection="1">
      <protection locked="0"/>
    </xf>
    <xf numFmtId="0" fontId="0" fillId="0" borderId="36" xfId="0" applyBorder="1"/>
    <xf numFmtId="0" fontId="0" fillId="0" borderId="54" xfId="0" applyBorder="1"/>
    <xf numFmtId="0" fontId="0" fillId="0" borderId="38" xfId="0" applyBorder="1"/>
    <xf numFmtId="0" fontId="0" fillId="0" borderId="53" xfId="0" applyBorder="1"/>
    <xf numFmtId="0" fontId="0" fillId="0" borderId="35" xfId="0" applyBorder="1"/>
    <xf numFmtId="0" fontId="0" fillId="0" borderId="35" xfId="0" applyBorder="1" applyProtection="1">
      <protection locked="0"/>
    </xf>
    <xf numFmtId="0" fontId="0" fillId="0" borderId="41" xfId="0" applyBorder="1"/>
    <xf numFmtId="0" fontId="8" fillId="0" borderId="24" xfId="0" applyFont="1" applyBorder="1" applyAlignment="1">
      <alignment horizontal="left"/>
    </xf>
    <xf numFmtId="0" fontId="5" fillId="0" borderId="21" xfId="0" applyFont="1" applyBorder="1" applyAlignment="1">
      <alignment horizontal="left" vertical="top"/>
    </xf>
    <xf numFmtId="3" fontId="5" fillId="0" borderId="55" xfId="4" applyNumberFormat="1" applyFont="1" applyBorder="1" applyAlignment="1">
      <alignment horizontal="center" vertical="center"/>
    </xf>
    <xf numFmtId="0" fontId="0" fillId="0" borderId="24" xfId="0" applyBorder="1" applyAlignment="1">
      <alignment horizontal="center"/>
    </xf>
    <xf numFmtId="0" fontId="5" fillId="0" borderId="71" xfId="0" applyFont="1" applyBorder="1" applyAlignment="1">
      <alignment horizontal="center" vertical="center" wrapText="1"/>
    </xf>
    <xf numFmtId="0" fontId="4" fillId="0" borderId="55" xfId="0" applyFont="1" applyBorder="1" applyAlignment="1">
      <alignment horizontal="center"/>
    </xf>
  </cellXfs>
  <cellStyles count="14">
    <cellStyle name="Comma 3" xfId="1" xr:uid="{00000000-0005-0000-0000-000001000000}"/>
    <cellStyle name="Comma 3 2" xfId="10" xr:uid="{00000000-0005-0000-0000-00000A000000}"/>
    <cellStyle name="Currency [0]" xfId="2" builtinId="7"/>
    <cellStyle name="Currency 4 2" xfId="3" xr:uid="{00000000-0005-0000-0000-000003000000}"/>
    <cellStyle name="Normal" xfId="0" builtinId="0"/>
    <cellStyle name="Normal 10" xfId="4" xr:uid="{00000000-0005-0000-0000-000004000000}"/>
    <cellStyle name="Normal 10 2" xfId="9" xr:uid="{00000000-0005-0000-0000-000009000000}"/>
    <cellStyle name="Normal 12" xfId="5" xr:uid="{00000000-0005-0000-0000-000005000000}"/>
    <cellStyle name="Normal 2" xfId="6" xr:uid="{00000000-0005-0000-0000-000006000000}"/>
    <cellStyle name="Normal 2 2" xfId="7" xr:uid="{00000000-0005-0000-0000-000007000000}"/>
    <cellStyle name="Normal 2 2 2" xfId="13" xr:uid="{00000000-0005-0000-0000-00000D000000}"/>
    <cellStyle name="Normal 2 3" xfId="12" xr:uid="{00000000-0005-0000-0000-00000C000000}"/>
    <cellStyle name="Normal 3" xfId="11" xr:uid="{00000000-0005-0000-0000-00000B000000}"/>
    <cellStyle name="Normal_CIDB Grade 3 - 6 GB BOQ Rev1"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microsoft.com/office/2022/10/relationships/richValueRel" Target="richData/richValueRel.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microsoft.com/office/2017/06/relationships/rdRichValueTypes" Target="richData/rdRichValueTyp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microsoft.com/office/2017/06/relationships/rdRichValue" Target="richData/rdrichvalue.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eetMetadata" Target="metadata.xml"/><Relationship Id="rId46" Type="http://schemas.openxmlformats.org/officeDocument/2006/relationships/customXml" Target="../customXml/item3.xml"/><Relationship Id="rId20" Type="http://schemas.openxmlformats.org/officeDocument/2006/relationships/worksheet" Target="worksheets/sheet20.xml"/><Relationship Id="rId41" Type="http://schemas.microsoft.com/office/2017/06/relationships/rdRichValueStructure" Target="richData/rdrichvaluestructure.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24C7932A\MUT%20TVET%20College%20-%20Cost%20Estimate%20(With%20L%20Block%20Ventilation)%20-%202.5hr%20BackUp%20Rev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SUMMARY (For report)"/>
      <sheetName val="SECTION 1-P&amp;G"/>
      <sheetName val="SECT 2- L Block Old"/>
      <sheetName val="SECT 2- L Block New"/>
      <sheetName val="SECT 2- N Block"/>
      <sheetName val="SECT 2- NW Block"/>
      <sheetName val="SECT 2- D Block"/>
      <sheetName val="SECT 2- C Block"/>
    </sheetNames>
    <sheetDataSet>
      <sheetData sheetId="0" refreshError="1"/>
      <sheetData sheetId="1" refreshError="1"/>
      <sheetData sheetId="2">
        <row r="2">
          <cell r="A2" t="str">
            <v>MUT - Alternative Energy supply</v>
          </cell>
        </row>
      </sheetData>
      <sheetData sheetId="3"/>
      <sheetData sheetId="4"/>
      <sheetData sheetId="5" refreshError="1"/>
      <sheetData sheetId="6" refreshError="1"/>
      <sheetData sheetId="7" refreshError="1"/>
      <sheetData sheetId="8"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
  <sheetViews>
    <sheetView view="pageBreakPreview" topLeftCell="A11" zoomScale="85" zoomScaleNormal="120" zoomScaleSheetLayoutView="85" workbookViewId="0">
      <selection activeCell="E21" sqref="E21:F21"/>
    </sheetView>
  </sheetViews>
  <sheetFormatPr defaultColWidth="11.54296875" defaultRowHeight="14" x14ac:dyDescent="0.25"/>
  <cols>
    <col min="3" max="3" width="2.81640625" style="162" customWidth="1"/>
    <col min="4" max="4" width="19" style="22" customWidth="1"/>
    <col min="5" max="5" width="29.54296875" style="23" customWidth="1"/>
    <col min="6" max="6" width="24" style="24" customWidth="1"/>
    <col min="7" max="7" width="21.54296875" style="145" customWidth="1"/>
    <col min="8" max="8" width="2.54296875" style="162" customWidth="1"/>
    <col min="9" max="9" width="33.1796875" customWidth="1"/>
    <col min="10" max="10" width="17.54296875" bestFit="1" customWidth="1"/>
  </cols>
  <sheetData>
    <row r="1" spans="1:10" x14ac:dyDescent="0.25">
      <c r="F1" s="574" t="e" vm="1">
        <v>#VALUE!</v>
      </c>
      <c r="G1" s="574"/>
      <c r="H1" s="574"/>
    </row>
    <row r="2" spans="1:10" x14ac:dyDescent="0.25">
      <c r="F2" s="574"/>
      <c r="G2" s="574"/>
      <c r="H2" s="574"/>
    </row>
    <row r="3" spans="1:10" x14ac:dyDescent="0.25">
      <c r="F3" s="574"/>
      <c r="G3" s="574"/>
      <c r="H3" s="574"/>
    </row>
    <row r="4" spans="1:10" x14ac:dyDescent="0.25">
      <c r="F4" s="574"/>
      <c r="G4" s="574"/>
      <c r="H4" s="574"/>
    </row>
    <row r="5" spans="1:10" s="162" customFormat="1" x14ac:dyDescent="0.25">
      <c r="A5" s="258"/>
      <c r="B5" s="258"/>
      <c r="D5" s="163"/>
      <c r="E5" s="10"/>
      <c r="F5" s="11"/>
      <c r="G5" s="259"/>
      <c r="H5" s="258"/>
    </row>
    <row r="6" spans="1:10" x14ac:dyDescent="0.25">
      <c r="A6" s="258"/>
      <c r="B6" s="258"/>
      <c r="D6" s="260"/>
      <c r="E6" s="261"/>
      <c r="F6" s="262"/>
      <c r="G6" s="202"/>
      <c r="H6" s="258"/>
    </row>
    <row r="7" spans="1:10" x14ac:dyDescent="0.3">
      <c r="A7" s="258"/>
      <c r="B7" s="258"/>
      <c r="D7" s="263" t="s">
        <v>0</v>
      </c>
      <c r="E7" s="264"/>
      <c r="F7" s="265"/>
      <c r="G7" s="203"/>
      <c r="H7" s="258"/>
    </row>
    <row r="8" spans="1:10" x14ac:dyDescent="0.3">
      <c r="A8" s="258"/>
      <c r="B8" s="258"/>
      <c r="D8" s="263" t="s">
        <v>1</v>
      </c>
      <c r="E8" s="264"/>
      <c r="F8" s="265"/>
      <c r="G8" s="266"/>
      <c r="H8" s="258"/>
    </row>
    <row r="9" spans="1:10" x14ac:dyDescent="0.3">
      <c r="A9" s="258"/>
      <c r="B9" s="258"/>
      <c r="D9" s="263"/>
      <c r="E9" s="264"/>
      <c r="F9" s="9"/>
      <c r="G9" s="266"/>
      <c r="H9" s="258"/>
    </row>
    <row r="10" spans="1:10" x14ac:dyDescent="0.25">
      <c r="A10" s="258"/>
      <c r="B10" s="258"/>
      <c r="D10" s="267"/>
      <c r="E10" s="10"/>
      <c r="F10" s="11"/>
      <c r="G10" s="204"/>
      <c r="H10" s="258"/>
    </row>
    <row r="11" spans="1:10" x14ac:dyDescent="0.25">
      <c r="A11" s="258"/>
      <c r="B11" s="258"/>
      <c r="D11" s="572" t="s">
        <v>2</v>
      </c>
      <c r="E11" s="573"/>
      <c r="F11" s="574"/>
      <c r="G11" s="575"/>
      <c r="H11" s="258"/>
    </row>
    <row r="12" spans="1:10" ht="14.5" customHeight="1" thickBot="1" x14ac:dyDescent="0.3">
      <c r="A12" s="258"/>
      <c r="B12" s="258"/>
      <c r="D12" s="267"/>
      <c r="E12" s="10"/>
      <c r="F12" s="11"/>
      <c r="G12" s="204"/>
      <c r="H12" s="258"/>
    </row>
    <row r="13" spans="1:10" x14ac:dyDescent="0.25">
      <c r="A13" s="258"/>
      <c r="B13" s="258"/>
      <c r="D13" s="146" t="s">
        <v>3</v>
      </c>
      <c r="E13" s="147" t="s">
        <v>4</v>
      </c>
      <c r="F13" s="148"/>
      <c r="G13" s="268" t="s">
        <v>5</v>
      </c>
      <c r="H13" s="258"/>
    </row>
    <row r="14" spans="1:10" ht="14.5" customHeight="1" thickBot="1" x14ac:dyDescent="0.3">
      <c r="A14" s="258"/>
      <c r="B14" s="258"/>
      <c r="D14" s="149"/>
      <c r="E14" s="150"/>
      <c r="F14" s="151"/>
      <c r="G14" s="269"/>
      <c r="H14" s="258"/>
      <c r="J14" s="8"/>
    </row>
    <row r="15" spans="1:10" ht="19.399999999999999" customHeight="1" x14ac:dyDescent="0.25">
      <c r="A15" s="258"/>
      <c r="B15" s="258"/>
      <c r="D15" s="201" t="s">
        <v>6</v>
      </c>
      <c r="E15" s="578" t="s">
        <v>7</v>
      </c>
      <c r="F15" s="579"/>
      <c r="G15" s="270">
        <f>'SECTION 1-P&amp;G'!H30</f>
        <v>70000</v>
      </c>
      <c r="H15" s="258"/>
      <c r="J15" s="8"/>
    </row>
    <row r="16" spans="1:10" ht="19.399999999999999" customHeight="1" x14ac:dyDescent="0.25">
      <c r="A16" s="258"/>
      <c r="B16" s="258"/>
      <c r="D16" s="201" t="s">
        <v>8</v>
      </c>
      <c r="E16" s="578" t="s">
        <v>9</v>
      </c>
      <c r="F16" s="579"/>
      <c r="G16" s="271">
        <f>'SECT 2- MSP LV SR'!$J$76</f>
        <v>0</v>
      </c>
      <c r="H16" s="272"/>
      <c r="I16" s="101"/>
      <c r="J16" s="102"/>
    </row>
    <row r="17" spans="1:10" ht="19.399999999999999" customHeight="1" x14ac:dyDescent="0.25">
      <c r="A17" s="258"/>
      <c r="B17" s="258"/>
      <c r="D17" s="201" t="s">
        <v>10</v>
      </c>
      <c r="E17" s="578" t="s">
        <v>11</v>
      </c>
      <c r="F17" s="579"/>
      <c r="G17" s="271">
        <v>0</v>
      </c>
      <c r="H17" s="272"/>
      <c r="I17" s="273"/>
      <c r="J17" s="102"/>
    </row>
    <row r="18" spans="1:10" ht="19.399999999999999" customHeight="1" x14ac:dyDescent="0.25">
      <c r="A18" s="258"/>
      <c r="B18" s="258"/>
      <c r="D18" s="201" t="s">
        <v>12</v>
      </c>
      <c r="E18" s="578" t="s">
        <v>13</v>
      </c>
      <c r="F18" s="579"/>
      <c r="G18" s="271">
        <f>'SECT 4- AIRSIDE SS 1'!$J$76</f>
        <v>0</v>
      </c>
      <c r="H18" s="272"/>
      <c r="I18" s="273"/>
      <c r="J18" s="8"/>
    </row>
    <row r="19" spans="1:10" ht="19.399999999999999" customHeight="1" x14ac:dyDescent="0.25">
      <c r="A19" s="258"/>
      <c r="B19" s="258"/>
      <c r="D19" s="201" t="s">
        <v>14</v>
      </c>
      <c r="E19" s="578" t="s">
        <v>15</v>
      </c>
      <c r="F19" s="579"/>
      <c r="G19" s="271">
        <f>'SECT 5- AIRSIDE SS 2'!$J$72</f>
        <v>0</v>
      </c>
      <c r="H19" s="272"/>
      <c r="I19" s="123"/>
      <c r="J19" s="8"/>
    </row>
    <row r="20" spans="1:10" ht="19.399999999999999" customHeight="1" x14ac:dyDescent="0.25">
      <c r="A20" s="258"/>
      <c r="B20" s="258"/>
      <c r="D20" s="201" t="s">
        <v>16</v>
      </c>
      <c r="E20" s="578" t="s">
        <v>17</v>
      </c>
      <c r="F20" s="579"/>
      <c r="G20" s="271">
        <f>'SECT 6- AIRSIDE SS 3'!$J$65</f>
        <v>0</v>
      </c>
      <c r="H20" s="272"/>
      <c r="I20" s="123"/>
      <c r="J20" s="8"/>
    </row>
    <row r="21" spans="1:10" ht="19.399999999999999" customHeight="1" x14ac:dyDescent="0.25">
      <c r="A21" s="258"/>
      <c r="B21" s="258"/>
      <c r="D21" s="201" t="s">
        <v>18</v>
      </c>
      <c r="E21" s="578" t="s">
        <v>19</v>
      </c>
      <c r="F21" s="579"/>
      <c r="G21" s="271">
        <f>'SECT 7- AIRSIDE SS 4'!$J$80</f>
        <v>0</v>
      </c>
      <c r="H21" s="272"/>
      <c r="I21" s="123"/>
      <c r="J21" s="8"/>
    </row>
    <row r="22" spans="1:10" ht="19.399999999999999" customHeight="1" x14ac:dyDescent="0.25">
      <c r="A22" s="258"/>
      <c r="B22" s="258"/>
      <c r="D22" s="201" t="s">
        <v>20</v>
      </c>
      <c r="E22" s="580" t="s">
        <v>21</v>
      </c>
      <c r="F22" s="579"/>
      <c r="G22" s="271">
        <f>'SECT 8- TERMINAL BDG SS A2'!$J$85</f>
        <v>0</v>
      </c>
      <c r="H22" s="272"/>
      <c r="I22" s="123"/>
      <c r="J22" s="8"/>
    </row>
    <row r="23" spans="1:10" ht="19.399999999999999" customHeight="1" x14ac:dyDescent="0.25">
      <c r="A23" s="258"/>
      <c r="B23" s="258"/>
      <c r="D23" s="201" t="s">
        <v>22</v>
      </c>
      <c r="E23" s="580" t="s">
        <v>23</v>
      </c>
      <c r="F23" s="579"/>
      <c r="G23" s="271">
        <f>'SECT 9- SKY TANK FSD 2'!$J$83</f>
        <v>0</v>
      </c>
      <c r="H23" s="272"/>
      <c r="I23" s="123"/>
      <c r="J23" s="8"/>
    </row>
    <row r="24" spans="1:10" ht="19.399999999999999" customHeight="1" x14ac:dyDescent="0.25">
      <c r="A24" s="258"/>
      <c r="B24" s="258"/>
      <c r="D24" s="201" t="s">
        <v>24</v>
      </c>
      <c r="E24" s="580" t="s">
        <v>25</v>
      </c>
      <c r="F24" s="579"/>
      <c r="G24" s="271">
        <f>'SECT 10 - SKY TANK FFD'!$J$68</f>
        <v>0</v>
      </c>
      <c r="H24" s="272"/>
      <c r="I24" s="123"/>
      <c r="J24" s="8"/>
    </row>
    <row r="25" spans="1:10" ht="19.399999999999999" customHeight="1" thickBot="1" x14ac:dyDescent="0.3">
      <c r="A25" s="258"/>
      <c r="B25" s="258"/>
      <c r="D25" s="201" t="s">
        <v>26</v>
      </c>
      <c r="E25" s="580" t="s">
        <v>27</v>
      </c>
      <c r="F25" s="579"/>
      <c r="G25" s="271">
        <f>'SECT 11 - GENERAL'!$J$22</f>
        <v>1000000</v>
      </c>
      <c r="H25" s="272"/>
      <c r="I25" s="123"/>
      <c r="J25" s="8"/>
    </row>
    <row r="26" spans="1:10" x14ac:dyDescent="0.25">
      <c r="A26" s="258"/>
      <c r="B26" s="258"/>
      <c r="D26" s="12"/>
      <c r="E26" s="576" t="s">
        <v>28</v>
      </c>
      <c r="F26" s="577"/>
      <c r="G26" s="275">
        <f>SUM($G$15:$G$25)</f>
        <v>1070000</v>
      </c>
      <c r="H26" s="258"/>
      <c r="I26" s="123"/>
      <c r="J26" s="8"/>
    </row>
    <row r="27" spans="1:10" x14ac:dyDescent="0.25">
      <c r="A27" s="258"/>
      <c r="B27" s="258"/>
      <c r="D27" s="525"/>
      <c r="E27" s="567" t="s">
        <v>448</v>
      </c>
      <c r="F27" s="568"/>
      <c r="G27" s="526">
        <f>G26*0.25%</f>
        <v>2675</v>
      </c>
      <c r="H27" s="258"/>
      <c r="I27" s="123"/>
      <c r="J27" s="8"/>
    </row>
    <row r="28" spans="1:10" ht="14.5" customHeight="1" thickBot="1" x14ac:dyDescent="0.35">
      <c r="A28" s="258"/>
      <c r="B28" s="258"/>
      <c r="D28" s="13"/>
      <c r="E28" s="14" t="s">
        <v>29</v>
      </c>
      <c r="F28" s="15"/>
      <c r="G28" s="274">
        <f>0.1*$G$26</f>
        <v>107000</v>
      </c>
      <c r="H28" s="258"/>
      <c r="I28" s="276"/>
      <c r="J28" s="124"/>
    </row>
    <row r="29" spans="1:10" x14ac:dyDescent="0.25">
      <c r="A29" s="258"/>
      <c r="B29" s="258"/>
      <c r="D29" s="12"/>
      <c r="E29" s="576" t="s">
        <v>449</v>
      </c>
      <c r="F29" s="577"/>
      <c r="G29" s="277">
        <f>$G$26+$G$28+G27</f>
        <v>1179675</v>
      </c>
      <c r="H29" s="272"/>
      <c r="I29" s="278"/>
      <c r="J29" s="8"/>
    </row>
    <row r="30" spans="1:10" ht="14.5" customHeight="1" thickBot="1" x14ac:dyDescent="0.3">
      <c r="A30" s="258"/>
      <c r="B30" s="258"/>
      <c r="D30" s="16" t="s">
        <v>30</v>
      </c>
      <c r="E30" s="581" t="s">
        <v>31</v>
      </c>
      <c r="F30" s="582"/>
      <c r="G30" s="279">
        <f>$G$29*0.15</f>
        <v>176951.25</v>
      </c>
      <c r="H30" s="258"/>
    </row>
    <row r="31" spans="1:10" ht="14.5" customHeight="1" thickBot="1" x14ac:dyDescent="0.35">
      <c r="A31" s="258"/>
      <c r="B31" s="258"/>
      <c r="D31" s="17"/>
      <c r="E31" s="18" t="s">
        <v>32</v>
      </c>
      <c r="F31" s="19"/>
      <c r="G31" s="280">
        <f>$G$29+$G$30</f>
        <v>1356626.25</v>
      </c>
      <c r="H31" s="258"/>
      <c r="I31" s="101"/>
      <c r="J31" s="124"/>
    </row>
    <row r="32" spans="1:10" ht="32.15" customHeight="1" x14ac:dyDescent="0.3">
      <c r="A32" s="258"/>
      <c r="B32" s="258"/>
      <c r="D32" s="569" t="s">
        <v>456</v>
      </c>
      <c r="E32" s="570"/>
      <c r="F32" s="570"/>
      <c r="G32" s="571"/>
      <c r="H32" s="258"/>
      <c r="J32" s="124"/>
    </row>
    <row r="33" spans="1:10" ht="14.5" thickBot="1" x14ac:dyDescent="0.35">
      <c r="A33" s="258"/>
      <c r="B33" s="258"/>
      <c r="D33" s="20"/>
      <c r="E33" s="21"/>
      <c r="F33" s="527"/>
      <c r="G33" s="528"/>
      <c r="H33" s="258"/>
      <c r="J33" s="124"/>
    </row>
    <row r="34" spans="1:10" ht="13" x14ac:dyDescent="0.3">
      <c r="A34" s="258"/>
      <c r="B34" s="258"/>
      <c r="D34" s="535" t="s">
        <v>457</v>
      </c>
      <c r="E34" s="536"/>
      <c r="F34" s="536"/>
      <c r="G34" s="537"/>
      <c r="H34" s="258"/>
      <c r="I34" s="101"/>
      <c r="J34" s="124"/>
    </row>
    <row r="35" spans="1:10" ht="13" x14ac:dyDescent="0.3">
      <c r="A35" s="258"/>
      <c r="B35" s="258"/>
      <c r="D35" s="538"/>
      <c r="E35" s="539"/>
      <c r="F35" s="539"/>
      <c r="G35" s="540"/>
      <c r="H35" s="258"/>
      <c r="I35" s="101"/>
      <c r="J35" s="124"/>
    </row>
    <row r="36" spans="1:10" ht="21.75" customHeight="1" x14ac:dyDescent="0.3">
      <c r="A36" s="258"/>
      <c r="B36" s="258"/>
      <c r="D36" s="538"/>
      <c r="E36" s="539"/>
      <c r="F36" s="539"/>
      <c r="G36" s="540"/>
      <c r="H36" s="258"/>
      <c r="J36" s="124"/>
    </row>
    <row r="37" spans="1:10" ht="24.75" customHeight="1" x14ac:dyDescent="0.3">
      <c r="A37" s="258"/>
      <c r="B37" s="258"/>
      <c r="D37" s="538"/>
      <c r="E37" s="539"/>
      <c r="F37" s="539"/>
      <c r="G37" s="540"/>
      <c r="H37" s="258"/>
      <c r="I37" s="101"/>
      <c r="J37" s="124"/>
    </row>
    <row r="38" spans="1:10" ht="90.75" customHeight="1" thickBot="1" x14ac:dyDescent="0.3">
      <c r="A38" s="258"/>
      <c r="B38" s="258"/>
      <c r="D38" s="541"/>
      <c r="E38" s="542"/>
      <c r="F38" s="542"/>
      <c r="G38" s="543"/>
      <c r="H38" s="258"/>
    </row>
    <row r="39" spans="1:10" s="162" customFormat="1" ht="32.25" customHeight="1" x14ac:dyDescent="0.25">
      <c r="A39" s="258"/>
      <c r="B39" s="258"/>
      <c r="D39" s="163"/>
      <c r="E39" s="10"/>
      <c r="F39" s="11"/>
      <c r="G39" s="259"/>
      <c r="H39" s="258"/>
    </row>
    <row r="40" spans="1:10" x14ac:dyDescent="0.25">
      <c r="A40" s="258"/>
      <c r="B40" s="258"/>
      <c r="G40" s="258"/>
      <c r="H40" s="258"/>
    </row>
    <row r="41" spans="1:10" x14ac:dyDescent="0.25">
      <c r="A41" s="258"/>
      <c r="B41" s="258"/>
      <c r="G41" s="258"/>
      <c r="H41" s="258"/>
    </row>
    <row r="42" spans="1:10" x14ac:dyDescent="0.25">
      <c r="A42" s="258"/>
      <c r="B42" s="258"/>
      <c r="G42" s="258"/>
      <c r="H42" s="258"/>
    </row>
    <row r="43" spans="1:10" x14ac:dyDescent="0.25">
      <c r="A43" s="258"/>
      <c r="B43" s="258"/>
      <c r="F43" s="46"/>
      <c r="G43" s="281"/>
      <c r="H43" s="258"/>
    </row>
    <row r="44" spans="1:10" x14ac:dyDescent="0.25">
      <c r="A44" s="258"/>
      <c r="B44" s="258"/>
      <c r="F44" s="46"/>
      <c r="G44" s="281"/>
      <c r="H44" s="258"/>
    </row>
  </sheetData>
  <sheetProtection algorithmName="SHA-512" hashValue="X5kfwiGWrJpmq7YbQyCuG8mnB/yU0QBTiHOJDsgFEcgjb79wZT6ClMw/zQX02Xl6VFUoD+ndeR23ywPXcXdcDg==" saltValue="pz4TuqQfR+0EQip4B0R/hg==" spinCount="100000" sheet="1" selectLockedCells="1" selectUnlockedCells="1"/>
  <mergeCells count="19">
    <mergeCell ref="E15:F15"/>
    <mergeCell ref="E29:F29"/>
    <mergeCell ref="F1:H4"/>
    <mergeCell ref="D34:G38"/>
    <mergeCell ref="E27:F27"/>
    <mergeCell ref="D32:G32"/>
    <mergeCell ref="D11:G11"/>
    <mergeCell ref="E26:F26"/>
    <mergeCell ref="E17:F17"/>
    <mergeCell ref="E18:F18"/>
    <mergeCell ref="E16:F16"/>
    <mergeCell ref="E24:F24"/>
    <mergeCell ref="E20:F20"/>
    <mergeCell ref="E19:F19"/>
    <mergeCell ref="E23:F23"/>
    <mergeCell ref="E30:F30"/>
    <mergeCell ref="E21:F21"/>
    <mergeCell ref="E22:F22"/>
    <mergeCell ref="E25:F25"/>
  </mergeCells>
  <printOptions horizontalCentered="1"/>
  <pageMargins left="0.25" right="0.25" top="0.75" bottom="0.75" header="0.3" footer="0.3"/>
  <pageSetup paperSize="9" orientation="portrait" r:id="rId1"/>
  <headerFooter>
    <oddHeader>&amp;C&amp;"Aptos,Regular"&amp;K000000 Confidential&amp;1#
  Confidential#
&amp;R&amp;G</oddHeader>
    <oddFooter>&amp;R&amp;"Aptos"&amp;10 &amp;K000000_x000D_# Confidential_x000D_&amp;1#&amp;"Aptos"&amp;10&amp;K000000 Confidential</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N36"/>
  <sheetViews>
    <sheetView view="pageBreakPreview" topLeftCell="A14" zoomScale="70" zoomScaleNormal="100" zoomScaleSheetLayoutView="70" workbookViewId="0">
      <selection activeCell="D21" sqref="D21"/>
    </sheetView>
  </sheetViews>
  <sheetFormatPr defaultColWidth="8.54296875" defaultRowHeight="12.5" x14ac:dyDescent="0.25"/>
  <cols>
    <col min="2" max="2" width="2.54296875" style="162" customWidth="1"/>
    <col min="3" max="3" width="7" style="8" customWidth="1"/>
    <col min="4" max="4" width="69" style="137" customWidth="1"/>
    <col min="5" max="5" width="8" style="8" customWidth="1"/>
    <col min="6" max="6" width="10.453125" customWidth="1"/>
    <col min="7" max="7" width="14.54296875" customWidth="1"/>
    <col min="8" max="8" width="14.81640625" customWidth="1"/>
    <col min="9" max="9" width="2.453125" style="162" customWidth="1"/>
  </cols>
  <sheetData>
    <row r="1" spans="1:14" x14ac:dyDescent="0.25">
      <c r="G1" s="586" t="e" vm="1">
        <v>#VALUE!</v>
      </c>
      <c r="H1" s="586"/>
      <c r="I1" s="586"/>
    </row>
    <row r="2" spans="1:14" x14ac:dyDescent="0.25">
      <c r="G2" s="586"/>
      <c r="H2" s="586"/>
      <c r="I2" s="586"/>
    </row>
    <row r="3" spans="1:14" x14ac:dyDescent="0.25">
      <c r="G3" s="586"/>
      <c r="H3" s="586"/>
      <c r="I3" s="586"/>
    </row>
    <row r="4" spans="1:14" x14ac:dyDescent="0.25">
      <c r="G4" s="586"/>
      <c r="H4" s="586"/>
      <c r="I4" s="586"/>
    </row>
    <row r="5" spans="1:14" x14ac:dyDescent="0.25">
      <c r="A5" s="258"/>
      <c r="B5" s="258"/>
      <c r="G5" s="586"/>
      <c r="H5" s="586"/>
      <c r="I5" s="586"/>
      <c r="K5" s="258"/>
      <c r="L5" s="258"/>
      <c r="M5" s="258"/>
      <c r="N5" s="258"/>
    </row>
    <row r="6" spans="1:14" x14ac:dyDescent="0.25">
      <c r="A6" s="258"/>
      <c r="B6" s="258"/>
      <c r="G6" s="258"/>
      <c r="H6" s="258"/>
      <c r="K6" s="258"/>
      <c r="L6" s="258"/>
      <c r="M6" s="258"/>
      <c r="N6" s="258"/>
    </row>
    <row r="7" spans="1:14" ht="15.65" customHeight="1" x14ac:dyDescent="0.35">
      <c r="A7" s="258"/>
      <c r="B7" s="258"/>
      <c r="C7" s="166" t="s">
        <v>0</v>
      </c>
      <c r="D7" s="167"/>
      <c r="E7" s="167"/>
      <c r="F7" s="167"/>
      <c r="G7" s="282"/>
      <c r="H7" s="283"/>
      <c r="K7" s="258"/>
      <c r="L7" s="258"/>
      <c r="M7" s="258"/>
      <c r="N7" s="258"/>
    </row>
    <row r="8" spans="1:14" ht="15.65" customHeight="1" x14ac:dyDescent="0.35">
      <c r="A8" s="258"/>
      <c r="B8" s="258"/>
      <c r="C8" s="592" t="str">
        <f>SUMMARY!D8</f>
        <v>ACSA KSIA POWER FACTOR CORRECTION UPGRADE</v>
      </c>
      <c r="D8" s="545"/>
      <c r="E8" s="545"/>
      <c r="F8" s="545"/>
      <c r="G8" s="546"/>
      <c r="H8" s="591"/>
      <c r="K8" s="258"/>
      <c r="L8" s="258"/>
      <c r="M8" s="258"/>
      <c r="N8" s="258"/>
    </row>
    <row r="9" spans="1:14" ht="15.65" customHeight="1" x14ac:dyDescent="0.35">
      <c r="A9" s="258"/>
      <c r="B9" s="258"/>
      <c r="C9" s="246" t="s">
        <v>33</v>
      </c>
      <c r="D9" s="168"/>
      <c r="E9" s="590"/>
      <c r="F9" s="545"/>
      <c r="G9" s="546"/>
      <c r="H9" s="591"/>
      <c r="K9" s="258"/>
      <c r="L9" s="258"/>
      <c r="M9" s="258"/>
      <c r="N9" s="258"/>
    </row>
    <row r="10" spans="1:14" ht="18.75" customHeight="1" thickBot="1" x14ac:dyDescent="0.35">
      <c r="A10" s="258"/>
      <c r="B10" s="258"/>
      <c r="C10" s="169"/>
      <c r="D10" s="170"/>
      <c r="E10" s="171"/>
      <c r="F10" s="172"/>
      <c r="G10" s="284"/>
      <c r="H10" s="285"/>
      <c r="J10" s="162"/>
      <c r="K10" s="286"/>
      <c r="L10" s="258"/>
      <c r="M10" s="258"/>
      <c r="N10" s="258"/>
    </row>
    <row r="11" spans="1:14" ht="29.15" customHeight="1" thickTop="1" x14ac:dyDescent="0.3">
      <c r="A11" s="258"/>
      <c r="B11" s="258"/>
      <c r="C11" s="26" t="s">
        <v>34</v>
      </c>
      <c r="D11" s="129" t="s">
        <v>4</v>
      </c>
      <c r="E11" s="5" t="s">
        <v>35</v>
      </c>
      <c r="F11" s="5" t="s">
        <v>36</v>
      </c>
      <c r="G11" s="287" t="s">
        <v>37</v>
      </c>
      <c r="H11" s="529" t="s">
        <v>455</v>
      </c>
      <c r="K11" s="258"/>
      <c r="L11" s="258"/>
      <c r="M11" s="258"/>
      <c r="N11" s="258"/>
    </row>
    <row r="12" spans="1:14" ht="16.5" customHeight="1" x14ac:dyDescent="0.3">
      <c r="A12" s="258"/>
      <c r="B12" s="258"/>
      <c r="C12" s="130"/>
      <c r="D12" s="131"/>
      <c r="E12" s="593"/>
      <c r="F12" s="594"/>
      <c r="G12" s="595"/>
      <c r="H12" s="596"/>
      <c r="K12" s="258"/>
      <c r="L12" s="258"/>
      <c r="M12" s="258"/>
      <c r="N12" s="258"/>
    </row>
    <row r="13" spans="1:14" s="134" customFormat="1" ht="16.5" customHeight="1" x14ac:dyDescent="0.25">
      <c r="A13" s="258"/>
      <c r="B13" s="519"/>
      <c r="C13" s="132"/>
      <c r="D13" s="133" t="s">
        <v>38</v>
      </c>
      <c r="E13" s="597"/>
      <c r="F13" s="598"/>
      <c r="G13" s="599"/>
      <c r="H13" s="600"/>
      <c r="I13" s="520"/>
      <c r="J13" s="101"/>
      <c r="K13" s="258"/>
      <c r="L13" s="258"/>
      <c r="M13" s="258"/>
      <c r="N13" s="258"/>
    </row>
    <row r="14" spans="1:14" s="134" customFormat="1" ht="56.15" customHeight="1" x14ac:dyDescent="0.25">
      <c r="A14" s="258"/>
      <c r="B14" s="519"/>
      <c r="C14" s="135"/>
      <c r="D14" s="126" t="s">
        <v>39</v>
      </c>
      <c r="E14" s="597"/>
      <c r="F14" s="598"/>
      <c r="G14" s="599"/>
      <c r="H14" s="600"/>
      <c r="I14" s="520"/>
      <c r="J14" s="101"/>
      <c r="K14" s="258"/>
      <c r="L14" s="258"/>
      <c r="M14" s="258"/>
      <c r="N14" s="258"/>
    </row>
    <row r="15" spans="1:14" s="128" customFormat="1" ht="16.5" customHeight="1" x14ac:dyDescent="0.3">
      <c r="A15" s="258"/>
      <c r="B15" s="288"/>
      <c r="C15" s="127"/>
      <c r="D15" s="136"/>
      <c r="E15" s="601"/>
      <c r="F15" s="602"/>
      <c r="G15" s="603"/>
      <c r="H15" s="604"/>
      <c r="I15" s="164"/>
      <c r="K15" s="258"/>
      <c r="L15" s="258"/>
      <c r="M15" s="258"/>
      <c r="N15" s="258"/>
    </row>
    <row r="16" spans="1:14" s="128" customFormat="1" ht="16.5" customHeight="1" x14ac:dyDescent="0.3">
      <c r="A16" s="258"/>
      <c r="B16" s="288"/>
      <c r="C16" s="220">
        <v>1</v>
      </c>
      <c r="D16" s="219" t="s">
        <v>40</v>
      </c>
      <c r="E16" s="521"/>
      <c r="F16" s="522"/>
      <c r="G16" s="523"/>
      <c r="H16" s="524"/>
      <c r="I16" s="164"/>
      <c r="K16" s="258"/>
      <c r="L16" s="258"/>
      <c r="M16" s="258"/>
      <c r="N16" s="258"/>
    </row>
    <row r="17" spans="1:14" s="134" customFormat="1" ht="23.15" customHeight="1" x14ac:dyDescent="0.25">
      <c r="A17" s="258"/>
      <c r="B17" s="519"/>
      <c r="C17" s="209" t="s">
        <v>41</v>
      </c>
      <c r="D17" s="205" t="s">
        <v>443</v>
      </c>
      <c r="E17" s="206" t="s">
        <v>42</v>
      </c>
      <c r="F17" s="206">
        <v>1</v>
      </c>
      <c r="G17" s="289"/>
      <c r="H17" s="289">
        <f t="shared" ref="H17:H26" si="0">G17*F17</f>
        <v>0</v>
      </c>
      <c r="I17" s="520"/>
      <c r="J17" s="101"/>
      <c r="K17" s="258"/>
      <c r="L17" s="258"/>
      <c r="M17" s="258"/>
      <c r="N17" s="258"/>
    </row>
    <row r="18" spans="1:14" s="134" customFormat="1" ht="16.5" customHeight="1" x14ac:dyDescent="0.25">
      <c r="A18" s="258"/>
      <c r="B18" s="519"/>
      <c r="C18" s="209" t="s">
        <v>43</v>
      </c>
      <c r="D18" s="205" t="s">
        <v>447</v>
      </c>
      <c r="E18" s="206" t="s">
        <v>42</v>
      </c>
      <c r="F18" s="206">
        <v>1</v>
      </c>
      <c r="G18" s="289"/>
      <c r="H18" s="289">
        <f t="shared" si="0"/>
        <v>0</v>
      </c>
      <c r="I18" s="520"/>
      <c r="J18" s="101"/>
      <c r="K18" s="258"/>
      <c r="L18" s="258"/>
      <c r="M18" s="258"/>
      <c r="N18" s="258"/>
    </row>
    <row r="19" spans="1:14" s="128" customFormat="1" ht="16.5" customHeight="1" x14ac:dyDescent="0.3">
      <c r="A19" s="258"/>
      <c r="B19" s="288"/>
      <c r="C19" s="209" t="s">
        <v>44</v>
      </c>
      <c r="D19" s="207" t="s">
        <v>440</v>
      </c>
      <c r="E19" s="208" t="s">
        <v>42</v>
      </c>
      <c r="F19" s="206">
        <v>1</v>
      </c>
      <c r="G19" s="289"/>
      <c r="H19" s="289">
        <f t="shared" si="0"/>
        <v>0</v>
      </c>
      <c r="I19" s="164"/>
      <c r="K19" s="258"/>
      <c r="L19" s="258"/>
      <c r="M19" s="258"/>
      <c r="N19" s="258"/>
    </row>
    <row r="20" spans="1:14" s="128" customFormat="1" ht="33" customHeight="1" x14ac:dyDescent="0.3">
      <c r="A20" s="258"/>
      <c r="B20" s="288"/>
      <c r="C20" s="209" t="s">
        <v>45</v>
      </c>
      <c r="D20" s="210" t="s">
        <v>47</v>
      </c>
      <c r="E20" s="208" t="s">
        <v>42</v>
      </c>
      <c r="F20" s="206">
        <v>1</v>
      </c>
      <c r="G20" s="289"/>
      <c r="H20" s="289">
        <f t="shared" si="0"/>
        <v>0</v>
      </c>
      <c r="I20" s="164"/>
      <c r="K20" s="258"/>
      <c r="L20" s="258"/>
      <c r="M20" s="258"/>
      <c r="N20" s="258"/>
    </row>
    <row r="21" spans="1:14" s="128" customFormat="1" ht="14.15" customHeight="1" x14ac:dyDescent="0.3">
      <c r="A21" s="258"/>
      <c r="B21" s="288"/>
      <c r="C21" s="209" t="s">
        <v>46</v>
      </c>
      <c r="D21" s="210" t="s">
        <v>50</v>
      </c>
      <c r="E21" s="208" t="s">
        <v>42</v>
      </c>
      <c r="F21" s="206">
        <v>1</v>
      </c>
      <c r="G21" s="289"/>
      <c r="H21" s="289">
        <f t="shared" si="0"/>
        <v>0</v>
      </c>
      <c r="I21" s="164"/>
      <c r="K21" s="258"/>
      <c r="L21" s="258"/>
      <c r="M21" s="258"/>
      <c r="N21" s="258"/>
    </row>
    <row r="22" spans="1:14" s="128" customFormat="1" ht="22" customHeight="1" x14ac:dyDescent="0.3">
      <c r="A22" s="258"/>
      <c r="B22" s="288"/>
      <c r="C22" s="209" t="s">
        <v>48</v>
      </c>
      <c r="D22" s="210" t="s">
        <v>444</v>
      </c>
      <c r="E22" s="208" t="s">
        <v>42</v>
      </c>
      <c r="F22" s="206">
        <v>1</v>
      </c>
      <c r="G22" s="289"/>
      <c r="H22" s="289">
        <f t="shared" si="0"/>
        <v>0</v>
      </c>
      <c r="I22" s="164"/>
      <c r="K22" s="258"/>
      <c r="L22" s="258"/>
      <c r="M22" s="258"/>
      <c r="N22" s="258"/>
    </row>
    <row r="23" spans="1:14" s="128" customFormat="1" ht="42" customHeight="1" x14ac:dyDescent="0.3">
      <c r="A23" s="258"/>
      <c r="B23" s="288"/>
      <c r="C23" s="209" t="s">
        <v>49</v>
      </c>
      <c r="D23" s="210" t="s">
        <v>54</v>
      </c>
      <c r="E23" s="208" t="s">
        <v>42</v>
      </c>
      <c r="F23" s="206">
        <v>1</v>
      </c>
      <c r="G23" s="289"/>
      <c r="H23" s="289">
        <f t="shared" si="0"/>
        <v>0</v>
      </c>
      <c r="I23" s="164"/>
      <c r="K23" s="258"/>
      <c r="L23" s="258"/>
      <c r="M23" s="258"/>
      <c r="N23" s="258"/>
    </row>
    <row r="24" spans="1:14" s="128" customFormat="1" ht="28" customHeight="1" x14ac:dyDescent="0.3">
      <c r="A24" s="258"/>
      <c r="B24" s="288"/>
      <c r="C24" s="209" t="s">
        <v>51</v>
      </c>
      <c r="D24" s="210" t="s">
        <v>441</v>
      </c>
      <c r="E24" s="208" t="s">
        <v>42</v>
      </c>
      <c r="F24" s="206">
        <v>1</v>
      </c>
      <c r="G24" s="289"/>
      <c r="H24" s="289">
        <f t="shared" si="0"/>
        <v>0</v>
      </c>
      <c r="I24" s="164"/>
      <c r="K24" s="258"/>
      <c r="L24" s="258"/>
      <c r="M24" s="258"/>
      <c r="N24" s="258"/>
    </row>
    <row r="25" spans="1:14" s="128" customFormat="1" ht="14.15" customHeight="1" x14ac:dyDescent="0.3">
      <c r="A25" s="258"/>
      <c r="B25" s="288"/>
      <c r="C25" s="209" t="s">
        <v>52</v>
      </c>
      <c r="D25" s="207" t="s">
        <v>55</v>
      </c>
      <c r="E25" s="208" t="s">
        <v>42</v>
      </c>
      <c r="F25" s="206">
        <v>1</v>
      </c>
      <c r="G25" s="289"/>
      <c r="H25" s="289">
        <f t="shared" si="0"/>
        <v>0</v>
      </c>
      <c r="I25" s="164"/>
      <c r="K25" s="258"/>
      <c r="L25" s="258"/>
      <c r="M25" s="258"/>
      <c r="N25" s="258"/>
    </row>
    <row r="26" spans="1:14" s="128" customFormat="1" ht="14.15" customHeight="1" x14ac:dyDescent="0.3">
      <c r="A26" s="258"/>
      <c r="B26" s="288"/>
      <c r="C26" s="209" t="s">
        <v>53</v>
      </c>
      <c r="D26" s="207" t="s">
        <v>445</v>
      </c>
      <c r="E26" s="208" t="s">
        <v>42</v>
      </c>
      <c r="F26" s="206">
        <v>1</v>
      </c>
      <c r="G26" s="290">
        <v>70000</v>
      </c>
      <c r="H26" s="291">
        <f t="shared" si="0"/>
        <v>70000</v>
      </c>
      <c r="I26" s="164"/>
      <c r="K26" s="258"/>
      <c r="L26" s="258"/>
      <c r="M26" s="258"/>
      <c r="N26" s="258"/>
    </row>
    <row r="27" spans="1:14" ht="14.15" customHeight="1" x14ac:dyDescent="0.3">
      <c r="A27" s="258"/>
      <c r="B27" s="258"/>
      <c r="C27" s="159">
        <v>2</v>
      </c>
      <c r="D27" s="223" t="s">
        <v>56</v>
      </c>
      <c r="E27" s="224"/>
      <c r="F27" s="224"/>
      <c r="G27" s="292"/>
      <c r="H27" s="293"/>
      <c r="K27" s="258"/>
      <c r="L27" s="258"/>
      <c r="M27" s="258"/>
      <c r="N27" s="258"/>
    </row>
    <row r="28" spans="1:14" s="128" customFormat="1" ht="28" customHeight="1" x14ac:dyDescent="0.3">
      <c r="A28" s="258"/>
      <c r="B28" s="288"/>
      <c r="C28" s="209" t="s">
        <v>81</v>
      </c>
      <c r="D28" s="210" t="s">
        <v>58</v>
      </c>
      <c r="E28" s="208" t="s">
        <v>57</v>
      </c>
      <c r="F28" s="206">
        <v>24</v>
      </c>
      <c r="G28" s="290"/>
      <c r="H28" s="291">
        <f t="shared" ref="H28:H29" si="1">G28*F28</f>
        <v>0</v>
      </c>
      <c r="I28" s="164"/>
      <c r="K28" s="258"/>
      <c r="L28" s="258"/>
      <c r="M28" s="258"/>
      <c r="N28" s="258"/>
    </row>
    <row r="29" spans="1:14" s="128" customFormat="1" ht="18.649999999999999" customHeight="1" thickBot="1" x14ac:dyDescent="0.35">
      <c r="A29" s="258"/>
      <c r="B29" s="288"/>
      <c r="C29" s="209" t="s">
        <v>86</v>
      </c>
      <c r="D29" s="207" t="s">
        <v>446</v>
      </c>
      <c r="E29" s="208" t="s">
        <v>57</v>
      </c>
      <c r="F29" s="206">
        <v>24</v>
      </c>
      <c r="G29" s="290"/>
      <c r="H29" s="291">
        <f t="shared" si="1"/>
        <v>0</v>
      </c>
      <c r="I29" s="164"/>
      <c r="K29" s="258"/>
      <c r="L29" s="258"/>
      <c r="M29" s="258"/>
      <c r="N29" s="258"/>
    </row>
    <row r="30" spans="1:14" ht="13.5" customHeight="1" thickBot="1" x14ac:dyDescent="0.35">
      <c r="A30" s="258"/>
      <c r="B30" s="258"/>
      <c r="C30" s="221"/>
      <c r="D30" s="222" t="s">
        <v>59</v>
      </c>
      <c r="E30" s="587"/>
      <c r="F30" s="588"/>
      <c r="G30" s="589"/>
      <c r="H30" s="294">
        <f>SUM(H17:H29)</f>
        <v>70000</v>
      </c>
      <c r="K30" s="258"/>
      <c r="L30" s="258"/>
      <c r="M30" s="258"/>
      <c r="N30" s="258"/>
    </row>
    <row r="31" spans="1:14" ht="31.5" customHeight="1" thickBot="1" x14ac:dyDescent="0.3">
      <c r="A31" s="258"/>
      <c r="B31" s="258"/>
      <c r="C31" s="583" t="s">
        <v>456</v>
      </c>
      <c r="D31" s="584"/>
      <c r="E31" s="584"/>
      <c r="F31" s="584"/>
      <c r="G31" s="584"/>
      <c r="H31" s="585"/>
      <c r="J31" s="162"/>
      <c r="K31" s="286"/>
      <c r="L31" s="286"/>
      <c r="M31" s="286"/>
      <c r="N31" s="286"/>
    </row>
    <row r="32" spans="1:14" x14ac:dyDescent="0.25">
      <c r="A32" s="258"/>
      <c r="B32" s="258"/>
      <c r="C32" s="535" t="s">
        <v>459</v>
      </c>
      <c r="D32" s="536"/>
      <c r="E32" s="536"/>
      <c r="F32" s="536"/>
      <c r="G32" s="536"/>
      <c r="H32" s="537"/>
      <c r="J32" s="162"/>
      <c r="K32" s="286"/>
      <c r="L32" s="286"/>
      <c r="M32" s="286"/>
      <c r="N32" s="286"/>
    </row>
    <row r="33" spans="1:14" x14ac:dyDescent="0.25">
      <c r="A33" s="258"/>
      <c r="B33" s="258"/>
      <c r="C33" s="538"/>
      <c r="D33" s="539"/>
      <c r="E33" s="539"/>
      <c r="F33" s="539"/>
      <c r="G33" s="539"/>
      <c r="H33" s="540"/>
      <c r="J33" s="162"/>
      <c r="K33" s="286"/>
      <c r="L33" s="286"/>
      <c r="M33" s="286"/>
      <c r="N33" s="286"/>
    </row>
    <row r="34" spans="1:14" x14ac:dyDescent="0.25">
      <c r="A34" s="258"/>
      <c r="B34" s="258"/>
      <c r="C34" s="538"/>
      <c r="D34" s="539"/>
      <c r="E34" s="539"/>
      <c r="F34" s="539"/>
      <c r="G34" s="539"/>
      <c r="H34" s="540"/>
      <c r="J34" s="162"/>
      <c r="K34" s="286"/>
      <c r="L34" s="286"/>
      <c r="M34" s="286"/>
      <c r="N34" s="286"/>
    </row>
    <row r="35" spans="1:14" x14ac:dyDescent="0.25">
      <c r="C35" s="538"/>
      <c r="D35" s="539"/>
      <c r="E35" s="539"/>
      <c r="F35" s="539"/>
      <c r="G35" s="539"/>
      <c r="H35" s="540"/>
    </row>
    <row r="36" spans="1:14" ht="122.25" customHeight="1" thickBot="1" x14ac:dyDescent="0.3">
      <c r="C36" s="541"/>
      <c r="D36" s="542"/>
      <c r="E36" s="542"/>
      <c r="F36" s="542"/>
      <c r="G36" s="542"/>
      <c r="H36" s="543"/>
    </row>
  </sheetData>
  <sheetProtection algorithmName="SHA-512" hashValue="Kn/p37Hb34g4E1fzTithQeMY11BdSagR9XEuiGf8sdQbYbXakJg4Z4AC88ow7FMinAp2fZ0mvjI0zuKgftZ7eQ==" saltValue="2m9IgBXxOm3O1RgwtKrGvQ==" spinCount="100000" sheet="1" objects="1" scenarios="1"/>
  <mergeCells count="7">
    <mergeCell ref="C31:H31"/>
    <mergeCell ref="C32:H36"/>
    <mergeCell ref="G1:I5"/>
    <mergeCell ref="E30:G30"/>
    <mergeCell ref="E9:H9"/>
    <mergeCell ref="C8:H8"/>
    <mergeCell ref="E12:H15"/>
  </mergeCells>
  <phoneticPr fontId="25" type="noConversion"/>
  <printOptions horizontalCentered="1"/>
  <pageMargins left="0" right="0" top="0" bottom="0" header="0.31496062992125978" footer="0.31496062992125978"/>
  <pageSetup paperSize="9" scale="78"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66"/>
  <sheetViews>
    <sheetView zoomScale="85" zoomScaleNormal="85" zoomScaleSheetLayoutView="70" workbookViewId="0">
      <pane ySplit="5" topLeftCell="A9" activePane="bottomLeft" state="frozen"/>
      <selection activeCell="D115" sqref="D115"/>
      <selection pane="bottomLeft" activeCell="G14" sqref="G14"/>
    </sheetView>
  </sheetViews>
  <sheetFormatPr defaultColWidth="8.54296875" defaultRowHeight="12.5" x14ac:dyDescent="0.25"/>
  <cols>
    <col min="1" max="1" width="16.453125" style="8" customWidth="1"/>
    <col min="2" max="2" width="70.5429687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1" width="13.81640625" style="8" customWidth="1"/>
    <col min="12" max="12" width="13.54296875" style="295" bestFit="1" customWidth="1"/>
    <col min="13" max="13" width="16.81640625" style="296" bestFit="1" customWidth="1"/>
    <col min="14" max="14" width="15.54296875" style="295" customWidth="1"/>
    <col min="15" max="15" width="16" style="297" bestFit="1" customWidth="1"/>
    <col min="16" max="16" width="22.81640625" bestFit="1" customWidth="1"/>
    <col min="17" max="17" width="14.54296875" customWidth="1"/>
  </cols>
  <sheetData>
    <row r="1" spans="1:18" ht="15.65" customHeight="1" x14ac:dyDescent="0.35">
      <c r="A1" s="606" t="s">
        <v>0</v>
      </c>
      <c r="B1" s="560"/>
      <c r="C1" s="559"/>
      <c r="D1" s="586"/>
      <c r="E1" s="586"/>
      <c r="F1" s="586"/>
      <c r="G1" s="560"/>
      <c r="H1" s="560"/>
      <c r="I1" s="586"/>
      <c r="J1" s="586"/>
      <c r="K1" s="560"/>
      <c r="L1" s="560"/>
      <c r="M1" s="560"/>
      <c r="N1" s="560"/>
      <c r="O1" s="560"/>
      <c r="P1" s="560"/>
      <c r="Q1" s="560"/>
      <c r="R1" s="560"/>
    </row>
    <row r="2" spans="1:18" ht="15.65" customHeight="1" x14ac:dyDescent="0.35">
      <c r="A2" s="605" t="str">
        <f>'[1]SECTION 1-P&amp;G'!A2:K2</f>
        <v>MUT - Alternative Energy supply</v>
      </c>
      <c r="B2" s="560"/>
      <c r="C2" s="559"/>
      <c r="D2" s="586"/>
      <c r="E2" s="586"/>
      <c r="F2" s="586"/>
      <c r="G2" s="560"/>
      <c r="H2" s="560"/>
      <c r="I2" s="586"/>
      <c r="J2" s="586"/>
      <c r="K2" s="560"/>
      <c r="L2" s="560"/>
      <c r="M2" s="560"/>
      <c r="N2" s="560"/>
      <c r="O2" s="560"/>
      <c r="P2" s="560"/>
      <c r="Q2" s="560"/>
      <c r="R2" s="299"/>
    </row>
    <row r="3" spans="1:18" ht="16" customHeight="1" thickBot="1" x14ac:dyDescent="0.4">
      <c r="A3" s="300" t="s">
        <v>60</v>
      </c>
      <c r="B3" s="301"/>
      <c r="C3" s="31"/>
      <c r="D3" s="4"/>
      <c r="E3" s="4"/>
      <c r="F3" s="4"/>
      <c r="G3" s="302"/>
      <c r="H3" s="302"/>
      <c r="I3" s="4"/>
      <c r="J3" s="4"/>
      <c r="K3" s="302"/>
      <c r="L3" s="303"/>
      <c r="M3" s="304"/>
      <c r="N3" s="303"/>
      <c r="O3" s="305"/>
      <c r="P3" s="299"/>
      <c r="Q3" s="299"/>
      <c r="R3" s="299"/>
    </row>
    <row r="4" spans="1:18"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310"/>
      <c r="O4" s="258"/>
      <c r="P4" s="258"/>
      <c r="Q4" s="258"/>
      <c r="R4" s="258"/>
    </row>
    <row r="5" spans="1:18" ht="71.5" customHeight="1" thickTop="1" x14ac:dyDescent="0.3">
      <c r="A5" s="311" t="s">
        <v>34</v>
      </c>
      <c r="B5" s="312" t="s">
        <v>4</v>
      </c>
      <c r="C5" s="33" t="s">
        <v>35</v>
      </c>
      <c r="D5" s="33" t="s">
        <v>36</v>
      </c>
      <c r="E5" s="82" t="s">
        <v>72</v>
      </c>
      <c r="F5" s="82" t="s">
        <v>73</v>
      </c>
      <c r="G5" s="313" t="s">
        <v>74</v>
      </c>
      <c r="H5" s="314" t="s">
        <v>75</v>
      </c>
      <c r="I5" s="82" t="s">
        <v>73</v>
      </c>
      <c r="J5" s="315" t="s">
        <v>76</v>
      </c>
      <c r="K5" s="316" t="s">
        <v>77</v>
      </c>
      <c r="L5" s="317" t="s">
        <v>78</v>
      </c>
      <c r="M5" s="316" t="s">
        <v>79</v>
      </c>
      <c r="N5" s="258"/>
      <c r="O5" s="318"/>
      <c r="P5" s="319"/>
      <c r="Q5" s="258"/>
      <c r="R5" s="258"/>
    </row>
    <row r="6" spans="1:18" ht="16.5" customHeight="1" thickBot="1" x14ac:dyDescent="0.35">
      <c r="A6" s="320"/>
      <c r="B6" s="321"/>
      <c r="C6" s="256"/>
      <c r="D6" s="6"/>
      <c r="E6" s="247"/>
      <c r="F6" s="247"/>
      <c r="G6" s="322"/>
      <c r="H6" s="322"/>
      <c r="I6" s="247"/>
      <c r="J6" s="247"/>
      <c r="K6" s="322"/>
      <c r="L6" s="323"/>
      <c r="M6" s="324"/>
      <c r="N6" s="325"/>
      <c r="O6" s="318"/>
      <c r="P6" s="319"/>
      <c r="Q6" s="258"/>
      <c r="R6" s="258"/>
    </row>
    <row r="7" spans="1:18" ht="32.15" customHeight="1" x14ac:dyDescent="0.3">
      <c r="A7" s="326">
        <v>2</v>
      </c>
      <c r="B7" s="327"/>
      <c r="C7" s="59"/>
      <c r="D7" s="60" t="s">
        <v>80</v>
      </c>
      <c r="E7" s="60"/>
      <c r="F7" s="60"/>
      <c r="G7" s="328"/>
      <c r="H7" s="328"/>
      <c r="I7" s="60"/>
      <c r="J7" s="60"/>
      <c r="K7" s="328"/>
      <c r="L7" s="329"/>
      <c r="M7" s="329"/>
      <c r="N7" s="330"/>
      <c r="O7" s="258"/>
      <c r="P7" s="258"/>
      <c r="Q7" s="258"/>
      <c r="R7" s="258"/>
    </row>
    <row r="8" spans="1:18" ht="16.5" customHeight="1" thickBot="1" x14ac:dyDescent="0.35">
      <c r="A8" s="331"/>
      <c r="B8" s="332"/>
      <c r="C8" s="63"/>
      <c r="D8" s="64"/>
      <c r="E8" s="64"/>
      <c r="F8" s="64"/>
      <c r="G8" s="333"/>
      <c r="H8" s="333"/>
      <c r="I8" s="64"/>
      <c r="J8" s="64"/>
      <c r="K8" s="333"/>
      <c r="L8" s="334"/>
      <c r="M8" s="334"/>
      <c r="N8" s="335"/>
      <c r="O8" s="258"/>
      <c r="P8" s="258"/>
      <c r="Q8" s="258"/>
      <c r="R8" s="258"/>
    </row>
    <row r="9" spans="1:18" ht="16.5" customHeight="1" x14ac:dyDescent="0.3">
      <c r="A9" s="336" t="s">
        <v>81</v>
      </c>
      <c r="B9" s="337"/>
      <c r="C9" s="252"/>
      <c r="D9" s="61" t="s">
        <v>82</v>
      </c>
      <c r="E9" s="62"/>
      <c r="F9" s="62"/>
      <c r="G9" s="338"/>
      <c r="H9" s="338"/>
      <c r="I9" s="62"/>
      <c r="J9" s="62"/>
      <c r="K9" s="338"/>
      <c r="L9" s="339"/>
      <c r="M9" s="339"/>
      <c r="N9" s="340"/>
      <c r="O9" s="258"/>
      <c r="P9" s="258"/>
      <c r="Q9" s="258"/>
      <c r="R9" s="258"/>
    </row>
    <row r="10" spans="1:18" ht="16.5" customHeight="1" x14ac:dyDescent="0.3">
      <c r="A10" s="341"/>
      <c r="B10" s="342"/>
      <c r="C10" s="30"/>
      <c r="D10" s="1"/>
      <c r="E10" s="248"/>
      <c r="F10" s="248"/>
      <c r="G10" s="343"/>
      <c r="H10" s="343"/>
      <c r="I10" s="249"/>
      <c r="J10" s="249"/>
      <c r="K10" s="344"/>
      <c r="L10" s="345"/>
      <c r="M10" s="346"/>
      <c r="N10" s="258"/>
      <c r="O10" s="318"/>
      <c r="P10" s="258"/>
      <c r="Q10" s="258"/>
      <c r="R10" s="258"/>
    </row>
    <row r="11" spans="1:18" ht="42.65" customHeight="1" thickBot="1" x14ac:dyDescent="0.35">
      <c r="A11" s="341" t="s">
        <v>83</v>
      </c>
      <c r="B11" s="347" t="s">
        <v>84</v>
      </c>
      <c r="C11" s="248" t="s">
        <v>85</v>
      </c>
      <c r="D11" s="1">
        <f>109</f>
        <v>109</v>
      </c>
      <c r="E11" s="36">
        <f>1623.93</f>
        <v>1623.93</v>
      </c>
      <c r="F11" s="41">
        <v>0.25</v>
      </c>
      <c r="G11" s="348">
        <f>E11/(1-F11)</f>
        <v>2165.2400000000002</v>
      </c>
      <c r="H11" s="348">
        <v>350</v>
      </c>
      <c r="I11" s="83">
        <v>0.15</v>
      </c>
      <c r="J11" s="79">
        <f>H11*(1+I11)</f>
        <v>402.49999999999994</v>
      </c>
      <c r="K11" s="349">
        <f>J11*D11</f>
        <v>43872.499999999993</v>
      </c>
      <c r="L11" s="350">
        <f>G11+J11</f>
        <v>2567.7400000000002</v>
      </c>
      <c r="M11" s="351">
        <f>D11*L11</f>
        <v>279883.66000000003</v>
      </c>
      <c r="N11" s="258"/>
      <c r="O11" s="352"/>
      <c r="P11" s="353"/>
      <c r="Q11" s="258"/>
      <c r="R11" s="258"/>
    </row>
    <row r="12" spans="1:18" ht="14.5" customHeight="1" thickBot="1" x14ac:dyDescent="0.35">
      <c r="A12" s="354"/>
      <c r="B12" s="355"/>
      <c r="C12" s="97"/>
      <c r="D12" s="72"/>
      <c r="E12" s="73"/>
      <c r="F12" s="74"/>
      <c r="G12" s="356"/>
      <c r="H12" s="356"/>
      <c r="I12" s="73"/>
      <c r="J12" s="73"/>
      <c r="K12" s="357"/>
      <c r="L12" s="358"/>
      <c r="M12" s="358"/>
      <c r="N12" s="258"/>
      <c r="O12" s="258"/>
      <c r="P12" s="258"/>
      <c r="Q12" s="258"/>
      <c r="R12" s="258"/>
    </row>
    <row r="13" spans="1:18" ht="14.15" customHeight="1" x14ac:dyDescent="0.3">
      <c r="A13" s="359" t="s">
        <v>86</v>
      </c>
      <c r="B13" s="360"/>
      <c r="C13" s="255"/>
      <c r="D13" s="58" t="s">
        <v>87</v>
      </c>
      <c r="E13" s="56"/>
      <c r="F13" s="57"/>
      <c r="G13" s="361"/>
      <c r="H13" s="361"/>
      <c r="I13" s="56"/>
      <c r="J13" s="56"/>
      <c r="K13" s="362"/>
      <c r="L13" s="363"/>
      <c r="M13" s="363"/>
      <c r="N13" s="258"/>
      <c r="O13" s="364"/>
      <c r="P13" s="258"/>
      <c r="Q13" s="258"/>
      <c r="R13" s="258"/>
    </row>
    <row r="14" spans="1:18" ht="28.5" customHeight="1" thickBot="1" x14ac:dyDescent="0.35">
      <c r="A14" s="341" t="s">
        <v>88</v>
      </c>
      <c r="B14" s="365" t="s">
        <v>89</v>
      </c>
      <c r="C14" s="248" t="s">
        <v>90</v>
      </c>
      <c r="D14" s="1">
        <v>2</v>
      </c>
      <c r="E14" s="36">
        <v>87286.19</v>
      </c>
      <c r="F14" s="41">
        <v>0.2</v>
      </c>
      <c r="G14" s="348">
        <f>E14/(1-F14)</f>
        <v>109107.7375</v>
      </c>
      <c r="H14" s="348">
        <f>(550*8)+3600</f>
        <v>8000</v>
      </c>
      <c r="I14" s="83">
        <v>0.15</v>
      </c>
      <c r="J14" s="79">
        <f>H14*(1+I14)</f>
        <v>9200</v>
      </c>
      <c r="K14" s="349">
        <f>J14*D14</f>
        <v>18400</v>
      </c>
      <c r="L14" s="350">
        <f>G14+J14</f>
        <v>118307.7375</v>
      </c>
      <c r="M14" s="351">
        <f>D14*L14</f>
        <v>236615.47500000001</v>
      </c>
      <c r="N14" s="258"/>
      <c r="O14" s="366"/>
      <c r="P14" s="258"/>
      <c r="Q14" s="258"/>
      <c r="R14" s="258"/>
    </row>
    <row r="15" spans="1:18" ht="14.5" customHeight="1" thickBot="1" x14ac:dyDescent="0.35">
      <c r="A15" s="354"/>
      <c r="B15" s="355"/>
      <c r="C15" s="97"/>
      <c r="D15" s="72"/>
      <c r="E15" s="73"/>
      <c r="F15" s="74"/>
      <c r="G15" s="356"/>
      <c r="H15" s="356"/>
      <c r="I15" s="73"/>
      <c r="J15" s="73"/>
      <c r="K15" s="357"/>
      <c r="L15" s="358"/>
      <c r="M15" s="358"/>
      <c r="N15" s="258"/>
      <c r="O15" s="258"/>
      <c r="P15" s="258"/>
      <c r="Q15" s="258"/>
      <c r="R15" s="258"/>
    </row>
    <row r="16" spans="1:18" ht="14.15" customHeight="1" x14ac:dyDescent="0.3">
      <c r="A16" s="359">
        <v>2.2999999999999998</v>
      </c>
      <c r="B16" s="367"/>
      <c r="C16" s="255"/>
      <c r="D16" s="58" t="s">
        <v>91</v>
      </c>
      <c r="E16" s="56"/>
      <c r="F16" s="57"/>
      <c r="G16" s="361"/>
      <c r="H16" s="361"/>
      <c r="I16" s="56"/>
      <c r="J16" s="56"/>
      <c r="K16" s="362"/>
      <c r="L16" s="363"/>
      <c r="M16" s="363"/>
      <c r="N16" s="258"/>
      <c r="O16" s="318"/>
      <c r="P16" s="258"/>
      <c r="Q16" s="258"/>
      <c r="R16" s="258"/>
    </row>
    <row r="17" spans="1:18" ht="14.15" customHeight="1" x14ac:dyDescent="0.3">
      <c r="A17" s="341" t="s">
        <v>92</v>
      </c>
      <c r="B17" s="368" t="s">
        <v>93</v>
      </c>
      <c r="C17" s="248" t="s">
        <v>90</v>
      </c>
      <c r="D17" s="1">
        <v>1</v>
      </c>
      <c r="E17" s="36">
        <v>20000</v>
      </c>
      <c r="F17" s="41">
        <v>0.2</v>
      </c>
      <c r="G17" s="348">
        <f>E17/(1-F17)</f>
        <v>25000</v>
      </c>
      <c r="H17" s="348">
        <f>(550*4)+3500</f>
        <v>5700</v>
      </c>
      <c r="I17" s="83">
        <v>0.15</v>
      </c>
      <c r="J17" s="79">
        <f>H17*(1+I17)</f>
        <v>6554.9999999999991</v>
      </c>
      <c r="K17" s="349">
        <f>J17*D17</f>
        <v>6554.9999999999991</v>
      </c>
      <c r="L17" s="350">
        <f>G17+J17</f>
        <v>31555</v>
      </c>
      <c r="M17" s="351">
        <f>D17*L17</f>
        <v>31555</v>
      </c>
      <c r="N17" s="258"/>
      <c r="O17" s="369"/>
      <c r="P17" s="258"/>
      <c r="Q17" s="258"/>
      <c r="R17" s="258"/>
    </row>
    <row r="18" spans="1:18" ht="28.5" customHeight="1" thickBot="1" x14ac:dyDescent="0.35">
      <c r="A18" s="341" t="s">
        <v>94</v>
      </c>
      <c r="B18" s="368" t="s">
        <v>95</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258"/>
      <c r="O18" s="369"/>
      <c r="P18" s="258"/>
      <c r="Q18" s="258"/>
      <c r="R18" s="258"/>
    </row>
    <row r="19" spans="1:18" ht="14.15" customHeight="1" x14ac:dyDescent="0.3">
      <c r="A19" s="359">
        <v>2.4</v>
      </c>
      <c r="B19" s="360"/>
      <c r="C19" s="255"/>
      <c r="D19" s="58" t="s">
        <v>96</v>
      </c>
      <c r="E19" s="56"/>
      <c r="F19" s="57"/>
      <c r="G19" s="361"/>
      <c r="H19" s="361"/>
      <c r="I19" s="56"/>
      <c r="J19" s="56"/>
      <c r="K19" s="362"/>
      <c r="L19" s="363"/>
      <c r="M19" s="363"/>
      <c r="N19" s="258"/>
      <c r="O19" s="258"/>
      <c r="P19" s="258"/>
      <c r="Q19" s="258"/>
      <c r="R19" s="258"/>
    </row>
    <row r="20" spans="1:18" ht="28" customHeight="1" x14ac:dyDescent="0.3">
      <c r="A20" s="370" t="s">
        <v>97</v>
      </c>
      <c r="B20" s="365" t="s">
        <v>98</v>
      </c>
      <c r="C20" s="7" t="s">
        <v>42</v>
      </c>
      <c r="D20" s="7">
        <v>2</v>
      </c>
      <c r="E20" s="37">
        <f>906452.58*1.2</f>
        <v>1087743.0959999999</v>
      </c>
      <c r="F20" s="41">
        <v>0.2</v>
      </c>
      <c r="G20" s="348">
        <f>E20/(1-F20)</f>
        <v>1359678.8699999999</v>
      </c>
      <c r="H20" s="371">
        <f>(550*8)+3600</f>
        <v>8000</v>
      </c>
      <c r="I20" s="83">
        <v>0.15</v>
      </c>
      <c r="J20" s="79">
        <f>H20*(1+I20)</f>
        <v>9200</v>
      </c>
      <c r="K20" s="349">
        <f>J20*D20</f>
        <v>18400</v>
      </c>
      <c r="L20" s="350">
        <f>G20+J20</f>
        <v>1368878.8699999999</v>
      </c>
      <c r="M20" s="351">
        <f>D20*L20</f>
        <v>2737757.7399999998</v>
      </c>
      <c r="N20" s="258"/>
      <c r="O20" s="372"/>
      <c r="P20" s="353"/>
      <c r="Q20" s="258"/>
      <c r="R20" s="258"/>
    </row>
    <row r="21" spans="1:18" ht="14.15" customHeight="1" x14ac:dyDescent="0.3">
      <c r="A21" s="370"/>
      <c r="B21" s="373"/>
      <c r="C21" s="7"/>
      <c r="D21" s="7"/>
      <c r="E21" s="37"/>
      <c r="F21" s="41"/>
      <c r="G21" s="348"/>
      <c r="H21" s="371"/>
      <c r="I21" s="66"/>
      <c r="J21" s="66"/>
      <c r="K21" s="349"/>
      <c r="L21" s="350"/>
      <c r="M21" s="351"/>
      <c r="N21" s="258"/>
      <c r="O21" s="258"/>
      <c r="P21" s="353"/>
      <c r="Q21" s="258"/>
      <c r="R21" s="258"/>
    </row>
    <row r="22" spans="1:18" ht="14.15" customHeight="1" x14ac:dyDescent="0.3">
      <c r="A22" s="370" t="s">
        <v>99</v>
      </c>
      <c r="B22" s="373"/>
      <c r="C22" s="7"/>
      <c r="D22" s="7"/>
      <c r="E22" s="37"/>
      <c r="F22" s="41"/>
      <c r="G22" s="348"/>
      <c r="H22" s="371"/>
      <c r="I22" s="66"/>
      <c r="J22" s="66"/>
      <c r="K22" s="349"/>
      <c r="L22" s="350"/>
      <c r="M22" s="351"/>
      <c r="N22" s="258"/>
      <c r="O22" s="258"/>
      <c r="P22" s="353"/>
      <c r="Q22" s="258"/>
      <c r="R22" s="258"/>
    </row>
    <row r="23" spans="1:18" ht="28.5" customHeight="1" thickBot="1" x14ac:dyDescent="0.35">
      <c r="A23" s="374"/>
      <c r="B23" s="375" t="s">
        <v>100</v>
      </c>
      <c r="C23" s="68" t="s">
        <v>90</v>
      </c>
      <c r="D23" s="68">
        <v>4</v>
      </c>
      <c r="E23" s="69">
        <f>1888.71*1.15</f>
        <v>2172.0164999999997</v>
      </c>
      <c r="F23" s="52">
        <v>0.2</v>
      </c>
      <c r="G23" s="376">
        <f>E23/(1-F23)</f>
        <v>2715.0206249999997</v>
      </c>
      <c r="H23" s="377">
        <f>250*1</f>
        <v>250</v>
      </c>
      <c r="I23" s="83">
        <v>0.15</v>
      </c>
      <c r="J23" s="79">
        <f>H23*(1+I23)</f>
        <v>287.5</v>
      </c>
      <c r="K23" s="349">
        <f>J23*D23</f>
        <v>1150</v>
      </c>
      <c r="L23" s="350">
        <f>G23+J23</f>
        <v>3002.5206249999997</v>
      </c>
      <c r="M23" s="378">
        <f>D23*L23</f>
        <v>12010.082499999999</v>
      </c>
      <c r="N23" s="258"/>
      <c r="O23" s="258"/>
      <c r="P23" s="353"/>
      <c r="Q23" s="258"/>
      <c r="R23" s="258"/>
    </row>
    <row r="24" spans="1:18" ht="14.5" customHeight="1" thickBot="1" x14ac:dyDescent="0.35">
      <c r="A24" s="354"/>
      <c r="B24" s="355"/>
      <c r="C24" s="97"/>
      <c r="D24" s="72"/>
      <c r="E24" s="73"/>
      <c r="F24" s="74"/>
      <c r="G24" s="356"/>
      <c r="H24" s="356"/>
      <c r="I24" s="73"/>
      <c r="J24" s="73"/>
      <c r="K24" s="357"/>
      <c r="L24" s="358"/>
      <c r="M24" s="358"/>
      <c r="N24" s="258"/>
      <c r="O24" s="258"/>
      <c r="P24" s="258"/>
      <c r="Q24" s="258"/>
      <c r="R24" s="258"/>
    </row>
    <row r="25" spans="1:18" ht="14.15" customHeight="1" x14ac:dyDescent="0.3">
      <c r="A25" s="379">
        <v>2.5</v>
      </c>
      <c r="B25" s="360"/>
      <c r="C25" s="255"/>
      <c r="D25" s="58" t="s">
        <v>101</v>
      </c>
      <c r="E25" s="56"/>
      <c r="F25" s="57"/>
      <c r="G25" s="361"/>
      <c r="H25" s="361"/>
      <c r="I25" s="56"/>
      <c r="J25" s="56"/>
      <c r="K25" s="362"/>
      <c r="L25" s="363"/>
      <c r="M25" s="363"/>
      <c r="N25" s="258"/>
      <c r="O25" s="258"/>
      <c r="P25" s="258"/>
      <c r="Q25" s="258"/>
      <c r="R25" s="258"/>
    </row>
    <row r="26" spans="1:18" ht="28" customHeight="1" x14ac:dyDescent="0.3">
      <c r="A26" s="380" t="s">
        <v>102</v>
      </c>
      <c r="B26" s="368" t="s">
        <v>103</v>
      </c>
      <c r="C26" s="7" t="s">
        <v>85</v>
      </c>
      <c r="D26" s="7">
        <v>109</v>
      </c>
      <c r="E26" s="37">
        <v>650</v>
      </c>
      <c r="F26" s="41">
        <v>0.2</v>
      </c>
      <c r="G26" s="348">
        <f>E26/(1-F26)</f>
        <v>812.5</v>
      </c>
      <c r="H26" s="371">
        <f>(((5*200)*4)*1.2)/D26</f>
        <v>44.036697247706421</v>
      </c>
      <c r="I26" s="83">
        <v>0.15</v>
      </c>
      <c r="J26" s="79">
        <f>H26*(1+I26)</f>
        <v>50.642201834862377</v>
      </c>
      <c r="K26" s="349">
        <f>J26*D26</f>
        <v>5519.9999999999991</v>
      </c>
      <c r="L26" s="350">
        <f>G26+J26</f>
        <v>863.14220183486236</v>
      </c>
      <c r="M26" s="351">
        <f>D26*L26</f>
        <v>94082.5</v>
      </c>
      <c r="N26" s="258"/>
      <c r="O26" s="258"/>
      <c r="P26" s="353"/>
      <c r="Q26" s="258"/>
      <c r="R26" s="258"/>
    </row>
    <row r="27" spans="1:18" ht="14.5" customHeight="1" thickBot="1" x14ac:dyDescent="0.35">
      <c r="A27" s="381"/>
      <c r="B27" s="375" t="s">
        <v>104</v>
      </c>
      <c r="C27" s="85"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c r="P27" s="258"/>
      <c r="Q27" s="258"/>
      <c r="R27" s="258"/>
    </row>
    <row r="28" spans="1:18" ht="14.5" customHeight="1" thickBot="1" x14ac:dyDescent="0.35">
      <c r="A28" s="354"/>
      <c r="B28" s="355"/>
      <c r="C28" s="97"/>
      <c r="D28" s="72"/>
      <c r="E28" s="73"/>
      <c r="F28" s="74"/>
      <c r="G28" s="356"/>
      <c r="H28" s="356"/>
      <c r="I28" s="73"/>
      <c r="J28" s="73"/>
      <c r="K28" s="357"/>
      <c r="L28" s="358"/>
      <c r="M28" s="358"/>
      <c r="N28" s="258"/>
      <c r="O28" s="258"/>
      <c r="P28" s="258"/>
      <c r="Q28" s="258"/>
      <c r="R28" s="258"/>
    </row>
    <row r="29" spans="1:18" ht="14.15" customHeight="1" x14ac:dyDescent="0.3">
      <c r="A29" s="359">
        <v>2.6</v>
      </c>
      <c r="B29" s="360"/>
      <c r="C29" s="255"/>
      <c r="D29" s="58" t="s">
        <v>105</v>
      </c>
      <c r="E29" s="56"/>
      <c r="F29" s="57"/>
      <c r="G29" s="361"/>
      <c r="H29" s="361"/>
      <c r="I29" s="56"/>
      <c r="J29" s="56"/>
      <c r="K29" s="362"/>
      <c r="L29" s="363"/>
      <c r="M29" s="363"/>
      <c r="N29" s="258"/>
      <c r="O29" s="258"/>
      <c r="P29" s="258"/>
      <c r="Q29" s="258"/>
      <c r="R29" s="258"/>
    </row>
    <row r="30" spans="1:18" ht="42" customHeight="1" x14ac:dyDescent="0.3">
      <c r="A30" s="341" t="s">
        <v>106</v>
      </c>
      <c r="B30" s="368" t="s">
        <v>107</v>
      </c>
      <c r="C30" s="248" t="s">
        <v>108</v>
      </c>
      <c r="D30" s="1">
        <v>230</v>
      </c>
      <c r="E30" s="36">
        <f>14.85*1.15</f>
        <v>17.077499999999997</v>
      </c>
      <c r="F30" s="41">
        <v>0.2</v>
      </c>
      <c r="G30" s="348">
        <f>E30/(1-F30)</f>
        <v>21.346874999999994</v>
      </c>
      <c r="H30" s="348">
        <f>39</f>
        <v>39</v>
      </c>
      <c r="I30" s="83">
        <v>0.15</v>
      </c>
      <c r="J30" s="79">
        <f>H30*(1+I30)</f>
        <v>44.849999999999994</v>
      </c>
      <c r="K30" s="349">
        <f>J30*D30</f>
        <v>10315.499999999998</v>
      </c>
      <c r="L30" s="350">
        <f>G30+J30</f>
        <v>66.196874999999991</v>
      </c>
      <c r="M30" s="351">
        <f>D30*L30</f>
        <v>15225.281249999998</v>
      </c>
      <c r="N30" s="258"/>
      <c r="O30" s="258"/>
      <c r="P30" s="353"/>
      <c r="Q30" s="258"/>
      <c r="R30" s="258"/>
    </row>
    <row r="31" spans="1:18" ht="14.15" customHeight="1" x14ac:dyDescent="0.3">
      <c r="A31" s="341" t="s">
        <v>109</v>
      </c>
      <c r="B31" s="373" t="s">
        <v>110</v>
      </c>
      <c r="C31" s="248" t="s">
        <v>108</v>
      </c>
      <c r="D31" s="1">
        <v>6</v>
      </c>
      <c r="E31" s="36">
        <f>180*1.15</f>
        <v>206.99999999999997</v>
      </c>
      <c r="F31" s="41">
        <v>0.2</v>
      </c>
      <c r="G31" s="348">
        <f>E31/(1-F31)</f>
        <v>258.74999999999994</v>
      </c>
      <c r="H31" s="348">
        <f>65</f>
        <v>65</v>
      </c>
      <c r="I31" s="83">
        <v>0.15</v>
      </c>
      <c r="J31" s="79">
        <f>H31*(1+I31)</f>
        <v>74.75</v>
      </c>
      <c r="K31" s="349">
        <f>J31*D31</f>
        <v>448.5</v>
      </c>
      <c r="L31" s="350">
        <f>G31+J31</f>
        <v>333.49999999999994</v>
      </c>
      <c r="M31" s="351">
        <f>D31*L31</f>
        <v>2000.9999999999995</v>
      </c>
      <c r="N31" s="258"/>
      <c r="O31" s="258"/>
      <c r="P31" s="353"/>
      <c r="Q31" s="258"/>
      <c r="R31" s="258"/>
    </row>
    <row r="32" spans="1:18" ht="14.15" customHeight="1" x14ac:dyDescent="0.3">
      <c r="A32" s="341" t="s">
        <v>111</v>
      </c>
      <c r="B32" s="373" t="s">
        <v>112</v>
      </c>
      <c r="C32" s="248"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353"/>
      <c r="P32" s="258"/>
      <c r="Q32" s="258"/>
      <c r="R32" s="258"/>
    </row>
    <row r="33" spans="1:18" ht="14.5" customHeight="1" thickBot="1" x14ac:dyDescent="0.35">
      <c r="A33" s="381"/>
      <c r="B33" s="383" t="s">
        <v>113</v>
      </c>
      <c r="C33" s="85"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353"/>
      <c r="P33" s="258"/>
      <c r="Q33" s="258"/>
      <c r="R33" s="258"/>
    </row>
    <row r="34" spans="1:18" ht="14.5" customHeight="1" thickBot="1" x14ac:dyDescent="0.35">
      <c r="A34" s="354"/>
      <c r="B34" s="355"/>
      <c r="C34" s="97"/>
      <c r="D34" s="72"/>
      <c r="E34" s="73"/>
      <c r="F34" s="74"/>
      <c r="G34" s="356"/>
      <c r="H34" s="356"/>
      <c r="I34" s="73"/>
      <c r="J34" s="73"/>
      <c r="K34" s="357"/>
      <c r="L34" s="358"/>
      <c r="M34" s="358"/>
      <c r="N34" s="258"/>
      <c r="O34" s="258"/>
      <c r="P34" s="258"/>
      <c r="Q34" s="258"/>
      <c r="R34" s="258"/>
    </row>
    <row r="35" spans="1:18" ht="14.15" customHeight="1" x14ac:dyDescent="0.3">
      <c r="A35" s="359">
        <v>2.7</v>
      </c>
      <c r="B35" s="360"/>
      <c r="C35" s="255"/>
      <c r="D35" s="58" t="s">
        <v>114</v>
      </c>
      <c r="E35" s="56"/>
      <c r="F35" s="57"/>
      <c r="G35" s="361"/>
      <c r="H35" s="361"/>
      <c r="I35" s="56"/>
      <c r="J35" s="56"/>
      <c r="K35" s="362"/>
      <c r="L35" s="363"/>
      <c r="M35" s="363"/>
      <c r="N35" s="258"/>
      <c r="O35" s="258"/>
      <c r="P35" s="258"/>
      <c r="Q35" s="258"/>
      <c r="R35" s="258"/>
    </row>
    <row r="36" spans="1:18" ht="42" customHeight="1" x14ac:dyDescent="0.3">
      <c r="A36" s="370" t="s">
        <v>115</v>
      </c>
      <c r="B36" s="368" t="s">
        <v>116</v>
      </c>
      <c r="C36" s="7" t="s">
        <v>90</v>
      </c>
      <c r="D36" s="7">
        <v>1</v>
      </c>
      <c r="E36" s="37">
        <f>13501.37*1.2</f>
        <v>16201.644</v>
      </c>
      <c r="F36" s="41">
        <v>0.2</v>
      </c>
      <c r="G36" s="348">
        <f>E36/(1-F36)</f>
        <v>20252.055</v>
      </c>
      <c r="H36" s="371">
        <f>250*2</f>
        <v>500</v>
      </c>
      <c r="I36" s="83">
        <v>0.15</v>
      </c>
      <c r="J36" s="79">
        <f>H36*(1+I36)</f>
        <v>575</v>
      </c>
      <c r="K36" s="349">
        <f>J36*D36</f>
        <v>575</v>
      </c>
      <c r="L36" s="350">
        <f>G36+J36</f>
        <v>20827.055</v>
      </c>
      <c r="M36" s="351">
        <f>D36*L36</f>
        <v>20827.055</v>
      </c>
      <c r="N36" s="258"/>
      <c r="O36" s="258"/>
      <c r="P36" s="258"/>
      <c r="Q36" s="258"/>
      <c r="R36" s="258"/>
    </row>
    <row r="37" spans="1:18" ht="42.65" customHeight="1" thickBot="1" x14ac:dyDescent="0.35">
      <c r="A37" s="381" t="s">
        <v>117</v>
      </c>
      <c r="B37" s="375" t="s">
        <v>118</v>
      </c>
      <c r="C37" s="68" t="s">
        <v>90</v>
      </c>
      <c r="D37" s="68">
        <v>0</v>
      </c>
      <c r="E37" s="69">
        <f>13501.37*1.2</f>
        <v>16201.644</v>
      </c>
      <c r="F37" s="52">
        <v>0.2</v>
      </c>
      <c r="G37" s="376">
        <f>E37/(1-F37)</f>
        <v>20252.055</v>
      </c>
      <c r="H37" s="377">
        <f>250*2</f>
        <v>500</v>
      </c>
      <c r="I37" s="83">
        <v>0.15</v>
      </c>
      <c r="J37" s="79">
        <f>H37*(1+I37)</f>
        <v>575</v>
      </c>
      <c r="K37" s="382">
        <f>J37*D37</f>
        <v>0</v>
      </c>
      <c r="L37" s="350">
        <f>G37+J37</f>
        <v>20827.055</v>
      </c>
      <c r="M37" s="378">
        <f>D37*L37</f>
        <v>0</v>
      </c>
      <c r="N37" s="258"/>
      <c r="O37" s="258"/>
      <c r="P37" s="258"/>
      <c r="Q37" s="258"/>
      <c r="R37" s="258"/>
    </row>
    <row r="38" spans="1:18" ht="14.5" customHeight="1" thickBot="1" x14ac:dyDescent="0.35">
      <c r="A38" s="354"/>
      <c r="B38" s="355"/>
      <c r="C38" s="97"/>
      <c r="D38" s="72"/>
      <c r="E38" s="73"/>
      <c r="F38" s="74"/>
      <c r="G38" s="356"/>
      <c r="H38" s="356"/>
      <c r="I38" s="73"/>
      <c r="J38" s="73"/>
      <c r="K38" s="357"/>
      <c r="L38" s="358"/>
      <c r="M38" s="358"/>
      <c r="N38" s="258"/>
      <c r="O38" s="258"/>
      <c r="P38" s="258"/>
      <c r="Q38" s="258"/>
      <c r="R38" s="258"/>
    </row>
    <row r="39" spans="1:18" ht="16.5" customHeight="1" x14ac:dyDescent="0.3">
      <c r="A39" s="359">
        <v>2.8</v>
      </c>
      <c r="B39" s="360"/>
      <c r="C39" s="255"/>
      <c r="D39" s="58" t="s">
        <v>119</v>
      </c>
      <c r="E39" s="56"/>
      <c r="F39" s="57"/>
      <c r="G39" s="361"/>
      <c r="H39" s="361"/>
      <c r="I39" s="56"/>
      <c r="J39" s="56"/>
      <c r="K39" s="362"/>
      <c r="L39" s="363"/>
      <c r="M39" s="363"/>
      <c r="N39" s="258"/>
      <c r="O39" s="258"/>
      <c r="P39" s="258"/>
      <c r="Q39" s="258"/>
      <c r="R39" s="258"/>
    </row>
    <row r="40" spans="1:18" ht="16.5" customHeight="1" x14ac:dyDescent="0.3">
      <c r="A40" s="384"/>
      <c r="B40" s="342"/>
      <c r="C40" s="30"/>
      <c r="D40" s="1"/>
      <c r="E40" s="36"/>
      <c r="F40" s="41"/>
      <c r="G40" s="348"/>
      <c r="H40" s="348"/>
      <c r="I40" s="83"/>
      <c r="J40" s="79"/>
      <c r="K40" s="349"/>
      <c r="L40" s="350"/>
      <c r="M40" s="351"/>
      <c r="N40" s="258"/>
      <c r="O40" s="258"/>
      <c r="P40" s="258"/>
      <c r="Q40" s="258"/>
      <c r="R40" s="258"/>
    </row>
    <row r="41" spans="1:18" ht="14.15" customHeight="1" x14ac:dyDescent="0.3">
      <c r="A41" s="341" t="s">
        <v>120</v>
      </c>
      <c r="B41" s="385" t="s">
        <v>121</v>
      </c>
      <c r="C41" s="30" t="s">
        <v>90</v>
      </c>
      <c r="D41" s="1">
        <v>2</v>
      </c>
      <c r="E41" s="36">
        <v>2500</v>
      </c>
      <c r="F41" s="41">
        <v>0.2</v>
      </c>
      <c r="G41" s="348">
        <f>E41/(1-F41)</f>
        <v>3125</v>
      </c>
      <c r="H41" s="348">
        <f>(250+100)*4</f>
        <v>1400</v>
      </c>
      <c r="I41" s="83">
        <v>0.15</v>
      </c>
      <c r="J41" s="79">
        <f>H41*(1+I41)</f>
        <v>1609.9999999999998</v>
      </c>
      <c r="K41" s="349">
        <f>J41*D41</f>
        <v>3219.9999999999995</v>
      </c>
      <c r="L41" s="350">
        <f>G41+J41</f>
        <v>4735</v>
      </c>
      <c r="M41" s="351">
        <f>D41*L41</f>
        <v>9470</v>
      </c>
      <c r="N41" s="258"/>
      <c r="O41" s="258"/>
      <c r="P41" s="258"/>
      <c r="Q41" s="258"/>
      <c r="R41" s="258"/>
    </row>
    <row r="42" spans="1:18" ht="14.15" customHeight="1" x14ac:dyDescent="0.3">
      <c r="A42" s="341"/>
      <c r="B42" s="386"/>
      <c r="C42" s="103"/>
      <c r="D42" s="1"/>
      <c r="E42" s="36"/>
      <c r="F42" s="41"/>
      <c r="G42" s="348"/>
      <c r="H42" s="348"/>
      <c r="I42" s="79"/>
      <c r="J42" s="79"/>
      <c r="K42" s="349"/>
      <c r="L42" s="350"/>
      <c r="M42" s="351"/>
      <c r="N42" s="258"/>
      <c r="O42" s="258"/>
      <c r="P42" s="258"/>
      <c r="Q42" s="258"/>
      <c r="R42" s="258"/>
    </row>
    <row r="43" spans="1:18" ht="14.15" customHeight="1" x14ac:dyDescent="0.3">
      <c r="A43" s="341" t="s">
        <v>122</v>
      </c>
      <c r="B43" s="385" t="s">
        <v>123</v>
      </c>
      <c r="C43" s="30" t="s">
        <v>90</v>
      </c>
      <c r="D43" s="1">
        <v>0</v>
      </c>
      <c r="E43" s="36">
        <v>1800</v>
      </c>
      <c r="F43" s="41">
        <v>0.2</v>
      </c>
      <c r="G43" s="348">
        <f>E43/(1-F43)</f>
        <v>2250</v>
      </c>
      <c r="H43" s="348">
        <f>(250+100)*4</f>
        <v>1400</v>
      </c>
      <c r="I43" s="83">
        <v>0.15</v>
      </c>
      <c r="J43" s="79">
        <f>H43*(1+I43)</f>
        <v>1609.9999999999998</v>
      </c>
      <c r="K43" s="349">
        <f>J43*D43</f>
        <v>0</v>
      </c>
      <c r="L43" s="350">
        <f>G43+J43</f>
        <v>3860</v>
      </c>
      <c r="M43" s="351">
        <f>D43*L43</f>
        <v>0</v>
      </c>
      <c r="N43" s="258"/>
      <c r="O43" s="258"/>
      <c r="P43" s="258"/>
      <c r="Q43" s="258"/>
      <c r="R43" s="258"/>
    </row>
    <row r="44" spans="1:18" ht="14.15" customHeight="1" x14ac:dyDescent="0.3">
      <c r="A44" s="341"/>
      <c r="B44" s="385"/>
      <c r="C44" s="30"/>
      <c r="D44" s="1"/>
      <c r="E44" s="36"/>
      <c r="F44" s="41"/>
      <c r="G44" s="348"/>
      <c r="H44" s="348"/>
      <c r="I44" s="79"/>
      <c r="J44" s="79"/>
      <c r="K44" s="349"/>
      <c r="L44" s="350"/>
      <c r="M44" s="351"/>
      <c r="N44" s="258"/>
      <c r="O44" s="258"/>
      <c r="P44" s="258"/>
      <c r="Q44" s="258"/>
      <c r="R44" s="258"/>
    </row>
    <row r="45" spans="1:18" ht="14.15" customHeight="1" x14ac:dyDescent="0.3">
      <c r="A45" s="341" t="s">
        <v>124</v>
      </c>
      <c r="B45" s="385" t="s">
        <v>125</v>
      </c>
      <c r="C45" s="30" t="s">
        <v>90</v>
      </c>
      <c r="D45" s="1">
        <f>2 + N("Isolators")</f>
        <v>2</v>
      </c>
      <c r="E45" s="36">
        <v>1734.1</v>
      </c>
      <c r="F45" s="41">
        <v>0.2</v>
      </c>
      <c r="G45" s="348">
        <f>E45/(1-F45)</f>
        <v>2167.6249999999995</v>
      </c>
      <c r="H45" s="348">
        <f>(250+100)*4</f>
        <v>1400</v>
      </c>
      <c r="I45" s="83">
        <v>0.15</v>
      </c>
      <c r="J45" s="79">
        <f>H45*(1+I45)</f>
        <v>1609.9999999999998</v>
      </c>
      <c r="K45" s="349">
        <f>J45*D45</f>
        <v>3219.9999999999995</v>
      </c>
      <c r="L45" s="350">
        <f>G45+J45</f>
        <v>3777.6249999999991</v>
      </c>
      <c r="M45" s="351">
        <f>D45*L45</f>
        <v>7555.2499999999982</v>
      </c>
      <c r="N45" s="258"/>
      <c r="O45" s="258"/>
      <c r="P45" s="258"/>
      <c r="Q45" s="258"/>
      <c r="R45" s="258"/>
    </row>
    <row r="46" spans="1:18" ht="14.15" customHeight="1" x14ac:dyDescent="0.3">
      <c r="A46" s="341"/>
      <c r="B46" s="387"/>
      <c r="C46" s="103"/>
      <c r="D46" s="1"/>
      <c r="E46" s="36"/>
      <c r="F46" s="41"/>
      <c r="G46" s="348"/>
      <c r="H46" s="348"/>
      <c r="I46" s="79"/>
      <c r="J46" s="79"/>
      <c r="K46" s="349"/>
      <c r="L46" s="350"/>
      <c r="M46" s="351"/>
      <c r="N46" s="258"/>
      <c r="O46" s="258"/>
      <c r="P46" s="258"/>
      <c r="Q46" s="258"/>
      <c r="R46" s="258"/>
    </row>
    <row r="47" spans="1:18" ht="14.5" customHeight="1" thickBot="1" x14ac:dyDescent="0.35">
      <c r="A47" s="381" t="s">
        <v>126</v>
      </c>
      <c r="B47" s="388" t="s">
        <v>127</v>
      </c>
      <c r="C47" s="49" t="s">
        <v>90</v>
      </c>
      <c r="D47" s="50">
        <v>1</v>
      </c>
      <c r="E47" s="51">
        <f>550*1.2</f>
        <v>660</v>
      </c>
      <c r="F47" s="52">
        <v>0.2</v>
      </c>
      <c r="G47" s="376">
        <f>E47/(1-F47)</f>
        <v>825</v>
      </c>
      <c r="H47" s="376">
        <f>(250+100)*4</f>
        <v>1400</v>
      </c>
      <c r="I47" s="83">
        <v>0.15</v>
      </c>
      <c r="J47" s="79">
        <f>H47*(1+I47)</f>
        <v>1609.9999999999998</v>
      </c>
      <c r="K47" s="349">
        <f>J47*D47</f>
        <v>1609.9999999999998</v>
      </c>
      <c r="L47" s="350">
        <f>G47+J47</f>
        <v>2435</v>
      </c>
      <c r="M47" s="378">
        <f>D47*L47</f>
        <v>2435</v>
      </c>
      <c r="N47" s="258"/>
      <c r="O47" s="258"/>
      <c r="P47" s="258"/>
      <c r="Q47" s="258"/>
      <c r="R47" s="258"/>
    </row>
    <row r="48" spans="1:18" ht="14.5" customHeight="1" thickBot="1" x14ac:dyDescent="0.35">
      <c r="A48" s="354"/>
      <c r="B48" s="355"/>
      <c r="C48" s="97"/>
      <c r="D48" s="72"/>
      <c r="E48" s="73"/>
      <c r="F48" s="74"/>
      <c r="G48" s="356"/>
      <c r="H48" s="356"/>
      <c r="I48" s="73"/>
      <c r="J48" s="73"/>
      <c r="K48" s="357"/>
      <c r="L48" s="358"/>
      <c r="M48" s="358"/>
      <c r="N48" s="258"/>
      <c r="O48" s="258"/>
      <c r="P48" s="258"/>
      <c r="Q48" s="258"/>
      <c r="R48" s="258"/>
    </row>
    <row r="49" spans="1:18" ht="16.5" customHeight="1" x14ac:dyDescent="0.3">
      <c r="A49" s="359">
        <v>2.9</v>
      </c>
      <c r="B49" s="367"/>
      <c r="C49" s="255"/>
      <c r="D49" s="58" t="s">
        <v>128</v>
      </c>
      <c r="E49" s="56"/>
      <c r="F49" s="57"/>
      <c r="G49" s="361"/>
      <c r="H49" s="361"/>
      <c r="I49" s="56"/>
      <c r="J49" s="56"/>
      <c r="K49" s="362"/>
      <c r="L49" s="363"/>
      <c r="M49" s="363"/>
      <c r="N49" s="258"/>
      <c r="O49" s="258"/>
      <c r="P49" s="258"/>
      <c r="Q49" s="258"/>
      <c r="R49" s="258"/>
    </row>
    <row r="50" spans="1:18" ht="16.5" customHeight="1" x14ac:dyDescent="0.3">
      <c r="A50" s="341"/>
      <c r="B50" s="342"/>
      <c r="C50" s="30"/>
      <c r="D50" s="1"/>
      <c r="E50" s="36"/>
      <c r="F50" s="41"/>
      <c r="G50" s="348"/>
      <c r="H50" s="348"/>
      <c r="I50" s="79"/>
      <c r="J50" s="79"/>
      <c r="K50" s="349"/>
      <c r="L50" s="350"/>
      <c r="M50" s="351"/>
      <c r="N50" s="258"/>
      <c r="O50" s="258"/>
      <c r="P50" s="258"/>
      <c r="Q50" s="258"/>
      <c r="R50" s="258"/>
    </row>
    <row r="51" spans="1:18" ht="14.15" customHeight="1" x14ac:dyDescent="0.3">
      <c r="A51" s="341" t="s">
        <v>129</v>
      </c>
      <c r="B51" s="385" t="s">
        <v>130</v>
      </c>
      <c r="C51" s="30" t="s">
        <v>90</v>
      </c>
      <c r="D51" s="1">
        <v>0</v>
      </c>
      <c r="E51" s="36">
        <v>2500</v>
      </c>
      <c r="F51" s="41">
        <v>0.2</v>
      </c>
      <c r="G51" s="348">
        <f>E51/(1-F51)</f>
        <v>3125</v>
      </c>
      <c r="H51" s="348">
        <f>250*1</f>
        <v>250</v>
      </c>
      <c r="I51" s="83">
        <v>0.15</v>
      </c>
      <c r="J51" s="79">
        <f>H51*(1+I51)</f>
        <v>287.5</v>
      </c>
      <c r="K51" s="349">
        <f>J51*D51</f>
        <v>0</v>
      </c>
      <c r="L51" s="350">
        <f>G51+J51</f>
        <v>3412.5</v>
      </c>
      <c r="M51" s="351">
        <f>D51*L51</f>
        <v>0</v>
      </c>
      <c r="N51" s="258"/>
      <c r="O51" s="258"/>
      <c r="P51" s="353"/>
      <c r="Q51" s="258"/>
      <c r="R51" s="258"/>
    </row>
    <row r="52" spans="1:18" ht="14.15" customHeight="1" x14ac:dyDescent="0.3">
      <c r="A52" s="341"/>
      <c r="B52" s="385"/>
      <c r="C52" s="30"/>
      <c r="D52" s="1"/>
      <c r="E52" s="36"/>
      <c r="F52" s="41"/>
      <c r="G52" s="348"/>
      <c r="H52" s="348"/>
      <c r="I52" s="79"/>
      <c r="J52" s="79"/>
      <c r="K52" s="349"/>
      <c r="L52" s="350"/>
      <c r="M52" s="351"/>
      <c r="N52" s="258"/>
      <c r="O52" s="258"/>
      <c r="P52" s="353"/>
      <c r="Q52" s="258"/>
      <c r="R52" s="258"/>
    </row>
    <row r="53" spans="1:18" ht="14.15" customHeight="1" x14ac:dyDescent="0.3">
      <c r="A53" s="341" t="s">
        <v>131</v>
      </c>
      <c r="B53" s="385" t="s">
        <v>132</v>
      </c>
      <c r="C53" s="30" t="s">
        <v>90</v>
      </c>
      <c r="D53" s="1">
        <v>3</v>
      </c>
      <c r="E53" s="36">
        <v>5729</v>
      </c>
      <c r="F53" s="41">
        <v>0.2</v>
      </c>
      <c r="G53" s="348">
        <f>E53/(1-F53)</f>
        <v>7161.25</v>
      </c>
      <c r="H53" s="348">
        <v>250</v>
      </c>
      <c r="I53" s="83">
        <v>0.15</v>
      </c>
      <c r="J53" s="79">
        <f>H53*(1+I53)</f>
        <v>287.5</v>
      </c>
      <c r="K53" s="349">
        <f>J53*D53</f>
        <v>862.5</v>
      </c>
      <c r="L53" s="350">
        <f>G53+J53</f>
        <v>7448.75</v>
      </c>
      <c r="M53" s="351">
        <f>D53*L53</f>
        <v>22346.25</v>
      </c>
      <c r="N53" s="258"/>
      <c r="O53" s="353"/>
      <c r="P53" s="258"/>
      <c r="Q53" s="258"/>
      <c r="R53" s="258"/>
    </row>
    <row r="54" spans="1:18" ht="14.15" customHeight="1" x14ac:dyDescent="0.3">
      <c r="A54" s="341"/>
      <c r="B54" s="387"/>
      <c r="C54" s="103"/>
      <c r="D54" s="1"/>
      <c r="E54" s="36"/>
      <c r="F54" s="41"/>
      <c r="G54" s="348"/>
      <c r="H54" s="348"/>
      <c r="I54" s="79"/>
      <c r="J54" s="79"/>
      <c r="K54" s="349"/>
      <c r="L54" s="350"/>
      <c r="M54" s="351"/>
      <c r="N54" s="258"/>
      <c r="O54" s="258"/>
      <c r="P54" s="258"/>
      <c r="Q54" s="258"/>
      <c r="R54" s="258"/>
    </row>
    <row r="55" spans="1:18" ht="28" customHeight="1" x14ac:dyDescent="0.3">
      <c r="A55" s="341" t="s">
        <v>133</v>
      </c>
      <c r="B55" s="387" t="s">
        <v>134</v>
      </c>
      <c r="C55" s="30" t="s">
        <v>90</v>
      </c>
      <c r="D55" s="1">
        <v>1</v>
      </c>
      <c r="E55" s="36">
        <f>5729</f>
        <v>5729</v>
      </c>
      <c r="F55" s="41">
        <v>0.2</v>
      </c>
      <c r="G55" s="348">
        <f>E55/(1-F55)</f>
        <v>7161.25</v>
      </c>
      <c r="H55" s="348">
        <v>250</v>
      </c>
      <c r="I55" s="83">
        <v>0.15</v>
      </c>
      <c r="J55" s="79">
        <f>H55*(1+I55)</f>
        <v>287.5</v>
      </c>
      <c r="K55" s="349">
        <f>J55*D55</f>
        <v>287.5</v>
      </c>
      <c r="L55" s="350">
        <f>G55+J55</f>
        <v>7448.75</v>
      </c>
      <c r="M55" s="351">
        <f>D55*L55</f>
        <v>7448.75</v>
      </c>
      <c r="N55" s="258"/>
      <c r="O55" s="258"/>
      <c r="P55" s="353"/>
      <c r="Q55" s="258"/>
      <c r="R55" s="258"/>
    </row>
    <row r="56" spans="1:18" ht="14.15" customHeight="1" x14ac:dyDescent="0.3">
      <c r="A56" s="341"/>
      <c r="B56" s="387"/>
      <c r="C56" s="96"/>
      <c r="D56" s="1"/>
      <c r="E56" s="36"/>
      <c r="F56" s="41"/>
      <c r="G56" s="348"/>
      <c r="H56" s="348"/>
      <c r="I56" s="79"/>
      <c r="J56" s="79"/>
      <c r="K56" s="349"/>
      <c r="L56" s="350"/>
      <c r="M56" s="351"/>
      <c r="N56" s="258"/>
      <c r="O56" s="258"/>
      <c r="P56" s="258"/>
      <c r="Q56" s="258"/>
      <c r="R56" s="258"/>
    </row>
    <row r="57" spans="1:18" ht="28" customHeight="1" x14ac:dyDescent="0.3">
      <c r="A57" s="341" t="s">
        <v>135</v>
      </c>
      <c r="B57" s="385" t="s">
        <v>136</v>
      </c>
      <c r="C57" s="30" t="s">
        <v>90</v>
      </c>
      <c r="D57" s="1">
        <v>3</v>
      </c>
      <c r="E57" s="36">
        <v>350</v>
      </c>
      <c r="F57" s="41">
        <v>0.2</v>
      </c>
      <c r="G57" s="348">
        <f>E57/(1-F57)</f>
        <v>437.5</v>
      </c>
      <c r="H57" s="348">
        <v>250</v>
      </c>
      <c r="I57" s="83">
        <v>0.15</v>
      </c>
      <c r="J57" s="79">
        <f>H57*(1+I57)</f>
        <v>287.5</v>
      </c>
      <c r="K57" s="349">
        <f>J57*D57</f>
        <v>862.5</v>
      </c>
      <c r="L57" s="350">
        <f>G57+J57</f>
        <v>725</v>
      </c>
      <c r="M57" s="351">
        <f>D57*L57</f>
        <v>2175</v>
      </c>
      <c r="N57" s="258"/>
      <c r="O57" s="318"/>
      <c r="P57" s="258"/>
      <c r="Q57" s="258"/>
      <c r="R57" s="258"/>
    </row>
    <row r="58" spans="1:18" ht="14.15" customHeight="1" x14ac:dyDescent="0.3">
      <c r="A58" s="341"/>
      <c r="B58" s="387"/>
      <c r="C58" s="103"/>
      <c r="D58" s="1"/>
      <c r="E58" s="36"/>
      <c r="F58" s="41"/>
      <c r="G58" s="348"/>
      <c r="H58" s="348"/>
      <c r="I58" s="79"/>
      <c r="J58" s="79"/>
      <c r="K58" s="349"/>
      <c r="L58" s="350"/>
      <c r="M58" s="351"/>
      <c r="N58" s="258"/>
      <c r="O58" s="258"/>
      <c r="P58" s="258"/>
      <c r="Q58" s="258"/>
      <c r="R58" s="258"/>
    </row>
    <row r="59" spans="1:18" ht="28" customHeight="1" x14ac:dyDescent="0.3">
      <c r="A59" s="341" t="s">
        <v>137</v>
      </c>
      <c r="B59" s="385" t="s">
        <v>138</v>
      </c>
      <c r="C59" s="30" t="s">
        <v>108</v>
      </c>
      <c r="D59" s="1">
        <v>2</v>
      </c>
      <c r="E59" s="36">
        <f>35</f>
        <v>35</v>
      </c>
      <c r="F59" s="41">
        <v>0.2</v>
      </c>
      <c r="G59" s="348">
        <f>E59/(1-F59)</f>
        <v>43.75</v>
      </c>
      <c r="H59" s="348">
        <f>(65*3)</f>
        <v>195</v>
      </c>
      <c r="I59" s="83">
        <v>0.15</v>
      </c>
      <c r="J59" s="79">
        <f>H59*(1+I59)</f>
        <v>224.24999999999997</v>
      </c>
      <c r="K59" s="349">
        <f>J59*D59</f>
        <v>448.49999999999994</v>
      </c>
      <c r="L59" s="350">
        <f>G59+J59</f>
        <v>268</v>
      </c>
      <c r="M59" s="351">
        <f>D59*L59</f>
        <v>536</v>
      </c>
      <c r="N59" s="258"/>
      <c r="O59" s="318"/>
      <c r="P59" s="258"/>
      <c r="Q59" s="258"/>
      <c r="R59" s="258"/>
    </row>
    <row r="60" spans="1:18" ht="14.15" customHeight="1" x14ac:dyDescent="0.3">
      <c r="A60" s="341"/>
      <c r="B60" s="387"/>
      <c r="C60" s="96"/>
      <c r="D60" s="1"/>
      <c r="E60" s="36"/>
      <c r="F60" s="41"/>
      <c r="G60" s="348"/>
      <c r="H60" s="348"/>
      <c r="I60" s="79"/>
      <c r="J60" s="79"/>
      <c r="K60" s="349"/>
      <c r="L60" s="350"/>
      <c r="M60" s="351"/>
      <c r="N60" s="258"/>
      <c r="O60" s="258"/>
      <c r="P60" s="258"/>
      <c r="Q60" s="258"/>
      <c r="R60" s="258"/>
    </row>
    <row r="61" spans="1:18" ht="14.5" customHeight="1" thickBot="1" x14ac:dyDescent="0.35">
      <c r="A61" s="341" t="s">
        <v>139</v>
      </c>
      <c r="B61" s="385" t="s">
        <v>140</v>
      </c>
      <c r="C61" s="30" t="s">
        <v>42</v>
      </c>
      <c r="D61" s="1">
        <v>1</v>
      </c>
      <c r="E61" s="36">
        <v>1</v>
      </c>
      <c r="F61" s="41">
        <v>0.2</v>
      </c>
      <c r="G61" s="348">
        <f>E61/(1-F61)</f>
        <v>1.25</v>
      </c>
      <c r="H61" s="348">
        <f>2500*3</f>
        <v>7500</v>
      </c>
      <c r="I61" s="83">
        <v>0.15</v>
      </c>
      <c r="J61" s="79">
        <f>H61*(1+I61)</f>
        <v>8625</v>
      </c>
      <c r="K61" s="349">
        <f>J61*D61</f>
        <v>8625</v>
      </c>
      <c r="L61" s="350">
        <f>G61+J61</f>
        <v>8626.25</v>
      </c>
      <c r="M61" s="351">
        <f>D61*L61</f>
        <v>8626.25</v>
      </c>
      <c r="N61" s="258"/>
      <c r="O61" s="258"/>
      <c r="P61" s="258"/>
      <c r="Q61" s="258"/>
      <c r="R61" s="258"/>
    </row>
    <row r="62" spans="1:18" ht="14.5" customHeight="1" thickBot="1" x14ac:dyDescent="0.35">
      <c r="A62" s="354"/>
      <c r="B62" s="355"/>
      <c r="C62" s="97"/>
      <c r="D62" s="72"/>
      <c r="E62" s="73"/>
      <c r="F62" s="74"/>
      <c r="G62" s="356"/>
      <c r="H62" s="356"/>
      <c r="I62" s="73"/>
      <c r="J62" s="73"/>
      <c r="K62" s="357"/>
      <c r="L62" s="358"/>
      <c r="M62" s="358"/>
      <c r="N62" s="258"/>
      <c r="O62" s="258"/>
      <c r="P62" s="258"/>
      <c r="Q62" s="258"/>
      <c r="R62" s="258"/>
    </row>
    <row r="63" spans="1:18" ht="14.15" customHeight="1" x14ac:dyDescent="0.3">
      <c r="A63" s="389">
        <v>2.1</v>
      </c>
      <c r="B63" s="390"/>
      <c r="C63" s="251"/>
      <c r="D63" s="65" t="s">
        <v>141</v>
      </c>
      <c r="E63" s="53"/>
      <c r="F63" s="54"/>
      <c r="G63" s="391"/>
      <c r="H63" s="391"/>
      <c r="I63" s="53"/>
      <c r="J63" s="53"/>
      <c r="K63" s="392"/>
      <c r="L63" s="393"/>
      <c r="M63" s="393"/>
      <c r="N63" s="258"/>
      <c r="O63" s="258"/>
      <c r="P63" s="258"/>
      <c r="Q63" s="258"/>
      <c r="R63" s="258"/>
    </row>
    <row r="64" spans="1:18" ht="28" customHeight="1" x14ac:dyDescent="0.3">
      <c r="A64" s="370" t="s">
        <v>142</v>
      </c>
      <c r="B64" s="368" t="s">
        <v>143</v>
      </c>
      <c r="C64" s="3" t="s">
        <v>90</v>
      </c>
      <c r="D64" s="3">
        <v>3</v>
      </c>
      <c r="E64" s="37">
        <v>10000</v>
      </c>
      <c r="F64" s="41">
        <v>0.16</v>
      </c>
      <c r="G64" s="348">
        <f>E64/(1-F64)</f>
        <v>11904.761904761905</v>
      </c>
      <c r="H64" s="371">
        <v>200</v>
      </c>
      <c r="I64" s="83">
        <v>0.15</v>
      </c>
      <c r="J64" s="79">
        <f>H64*(1+I64)</f>
        <v>229.99999999999997</v>
      </c>
      <c r="K64" s="349">
        <f>J64*D64</f>
        <v>689.99999999999989</v>
      </c>
      <c r="L64" s="350">
        <f>G64+J64</f>
        <v>12134.761904761905</v>
      </c>
      <c r="M64" s="351">
        <f>D64*L64</f>
        <v>36404.28571428571</v>
      </c>
      <c r="N64" s="258"/>
      <c r="O64" s="258"/>
      <c r="P64" s="353"/>
      <c r="Q64" s="258"/>
      <c r="R64" s="258"/>
    </row>
    <row r="65" spans="1:18" ht="14.15" customHeight="1" x14ac:dyDescent="0.3">
      <c r="A65" s="394"/>
      <c r="B65" s="395"/>
      <c r="C65" s="30"/>
      <c r="D65" s="248"/>
      <c r="E65" s="36"/>
      <c r="F65" s="41"/>
      <c r="G65" s="348"/>
      <c r="H65" s="348"/>
      <c r="I65" s="79"/>
      <c r="J65" s="79"/>
      <c r="K65" s="349"/>
      <c r="L65" s="350"/>
      <c r="M65" s="351"/>
      <c r="N65" s="258"/>
      <c r="O65" s="258"/>
      <c r="P65" s="258"/>
      <c r="Q65" s="258"/>
      <c r="R65" s="258"/>
    </row>
    <row r="66" spans="1:18" ht="28.5" customHeight="1" thickBot="1" x14ac:dyDescent="0.35">
      <c r="A66" s="396" t="s">
        <v>144</v>
      </c>
      <c r="B66" s="375" t="s">
        <v>145</v>
      </c>
      <c r="C66" s="67" t="s">
        <v>90</v>
      </c>
      <c r="D66" s="67">
        <v>0</v>
      </c>
      <c r="E66" s="69">
        <v>7500</v>
      </c>
      <c r="F66" s="52">
        <v>0.16</v>
      </c>
      <c r="G66" s="376">
        <f>E66/(1-F66)</f>
        <v>8928.5714285714294</v>
      </c>
      <c r="H66" s="377">
        <v>200</v>
      </c>
      <c r="I66" s="83">
        <v>0.15</v>
      </c>
      <c r="J66" s="79">
        <f>H66*(1+I66)</f>
        <v>229.99999999999997</v>
      </c>
      <c r="K66" s="382">
        <f>J66*D66</f>
        <v>0</v>
      </c>
      <c r="L66" s="350">
        <f>G66+J66</f>
        <v>9158.5714285714294</v>
      </c>
      <c r="M66" s="378">
        <f>D66*L66</f>
        <v>0</v>
      </c>
      <c r="N66" s="258"/>
      <c r="O66" s="258"/>
      <c r="P66" s="353"/>
      <c r="Q66" s="258"/>
      <c r="R66" s="258"/>
    </row>
    <row r="67" spans="1:18" ht="14.5" customHeight="1" thickBot="1" x14ac:dyDescent="0.35">
      <c r="A67" s="397"/>
      <c r="B67" s="398"/>
      <c r="C67" s="97"/>
      <c r="D67" s="72"/>
      <c r="E67" s="73"/>
      <c r="F67" s="74"/>
      <c r="G67" s="356"/>
      <c r="H67" s="356"/>
      <c r="I67" s="73"/>
      <c r="J67" s="73"/>
      <c r="K67" s="357"/>
      <c r="L67" s="358"/>
      <c r="M67" s="358"/>
      <c r="N67" s="258"/>
      <c r="O67" s="258"/>
      <c r="P67" s="258"/>
      <c r="Q67" s="258"/>
      <c r="R67" s="258"/>
    </row>
    <row r="68" spans="1:18" ht="14.15" customHeight="1" x14ac:dyDescent="0.3">
      <c r="A68" s="359">
        <v>2.11</v>
      </c>
      <c r="B68" s="399"/>
      <c r="C68" s="100"/>
      <c r="D68" s="58" t="s">
        <v>146</v>
      </c>
      <c r="E68" s="56"/>
      <c r="F68" s="57"/>
      <c r="G68" s="361"/>
      <c r="H68" s="361"/>
      <c r="I68" s="56"/>
      <c r="J68" s="56"/>
      <c r="K68" s="362"/>
      <c r="L68" s="363"/>
      <c r="M68" s="363"/>
      <c r="N68" s="258"/>
      <c r="O68" s="258"/>
      <c r="P68" s="258"/>
      <c r="Q68" s="258"/>
      <c r="R68" s="258"/>
    </row>
    <row r="69" spans="1:18" ht="14.15" customHeight="1" x14ac:dyDescent="0.3">
      <c r="A69" s="341"/>
      <c r="B69" s="368"/>
      <c r="C69" s="104"/>
      <c r="D69" s="1"/>
      <c r="E69" s="36"/>
      <c r="F69" s="41"/>
      <c r="G69" s="348"/>
      <c r="H69" s="348"/>
      <c r="I69" s="79"/>
      <c r="J69" s="79"/>
      <c r="K69" s="349"/>
      <c r="L69" s="350"/>
      <c r="M69" s="351"/>
      <c r="N69" s="258"/>
      <c r="O69" s="258"/>
      <c r="P69" s="258"/>
      <c r="Q69" s="258"/>
      <c r="R69" s="258"/>
    </row>
    <row r="70" spans="1:18" ht="14.15" customHeight="1" x14ac:dyDescent="0.3">
      <c r="A70" s="341"/>
      <c r="B70" s="373" t="s">
        <v>147</v>
      </c>
      <c r="C70" s="103"/>
      <c r="D70" s="1"/>
      <c r="E70" s="36"/>
      <c r="F70" s="41"/>
      <c r="G70" s="348"/>
      <c r="H70" s="348"/>
      <c r="I70" s="79"/>
      <c r="J70" s="79"/>
      <c r="K70" s="349"/>
      <c r="L70" s="350"/>
      <c r="M70" s="351"/>
      <c r="N70" s="258"/>
      <c r="O70" s="258"/>
      <c r="P70" s="258"/>
      <c r="Q70" s="258"/>
      <c r="R70" s="258"/>
    </row>
    <row r="71" spans="1:18" ht="14.15" customHeight="1" x14ac:dyDescent="0.3">
      <c r="A71" s="341"/>
      <c r="B71" s="386"/>
      <c r="C71" s="103"/>
      <c r="D71" s="1"/>
      <c r="E71" s="36"/>
      <c r="F71" s="41"/>
      <c r="G71" s="348"/>
      <c r="H71" s="348"/>
      <c r="I71" s="79"/>
      <c r="J71" s="79"/>
      <c r="K71" s="349"/>
      <c r="L71" s="350"/>
      <c r="M71" s="351"/>
      <c r="N71" s="258"/>
      <c r="O71" s="258"/>
      <c r="P71" s="258"/>
      <c r="Q71" s="258"/>
      <c r="R71" s="258"/>
    </row>
    <row r="72" spans="1:18" ht="42" customHeight="1" x14ac:dyDescent="0.3">
      <c r="A72" s="341"/>
      <c r="B72" s="386" t="s">
        <v>148</v>
      </c>
      <c r="C72" s="103"/>
      <c r="D72" s="248"/>
      <c r="E72" s="36"/>
      <c r="F72" s="41"/>
      <c r="G72" s="348"/>
      <c r="H72" s="348"/>
      <c r="I72" s="79"/>
      <c r="J72" s="79"/>
      <c r="K72" s="349"/>
      <c r="L72" s="350"/>
      <c r="M72" s="351"/>
      <c r="N72" s="258"/>
      <c r="O72" s="258"/>
      <c r="P72" s="258"/>
      <c r="Q72" s="258"/>
      <c r="R72" s="258"/>
    </row>
    <row r="73" spans="1:18" ht="14.15" customHeight="1" x14ac:dyDescent="0.3">
      <c r="A73" s="384"/>
      <c r="B73" s="373"/>
      <c r="C73" s="103"/>
      <c r="D73" s="28"/>
      <c r="E73" s="38"/>
      <c r="F73" s="41"/>
      <c r="G73" s="348"/>
      <c r="H73" s="400"/>
      <c r="I73" s="81"/>
      <c r="J73" s="81"/>
      <c r="K73" s="349"/>
      <c r="L73" s="350"/>
      <c r="M73" s="351"/>
      <c r="N73" s="258"/>
      <c r="O73" s="258"/>
      <c r="P73" s="258"/>
      <c r="Q73" s="258"/>
      <c r="R73" s="258"/>
    </row>
    <row r="74" spans="1:18" ht="14.15" customHeight="1" x14ac:dyDescent="0.3">
      <c r="A74" s="341" t="s">
        <v>149</v>
      </c>
      <c r="B74" s="373" t="s">
        <v>150</v>
      </c>
      <c r="C74" s="103" t="s">
        <v>108</v>
      </c>
      <c r="D74" s="1">
        <v>12</v>
      </c>
      <c r="E74" s="36">
        <v>947.75</v>
      </c>
      <c r="F74" s="41">
        <v>0.25</v>
      </c>
      <c r="G74" s="348">
        <f t="shared" ref="G74:G79" si="0">E74/(1-F74)</f>
        <v>1263.6666666666667</v>
      </c>
      <c r="H74" s="348">
        <v>25</v>
      </c>
      <c r="I74" s="83">
        <v>0.15</v>
      </c>
      <c r="J74" s="79">
        <f t="shared" ref="J74:J79" si="1">H74*(1+I74)</f>
        <v>28.749999999999996</v>
      </c>
      <c r="K74" s="349">
        <f t="shared" ref="K74:K79" si="2">J74*D74</f>
        <v>344.99999999999994</v>
      </c>
      <c r="L74" s="350">
        <f t="shared" ref="L74:L79" si="3">G74+J74</f>
        <v>1292.4166666666667</v>
      </c>
      <c r="M74" s="351">
        <f t="shared" ref="M74:M79" si="4">D74*L74</f>
        <v>15509</v>
      </c>
      <c r="N74" s="258"/>
      <c r="O74" s="258"/>
      <c r="P74" s="258"/>
      <c r="Q74" s="258"/>
      <c r="R74" s="258"/>
    </row>
    <row r="75" spans="1:18" ht="14.15" customHeight="1" x14ac:dyDescent="0.3">
      <c r="A75" s="341" t="s">
        <v>151</v>
      </c>
      <c r="B75" s="373" t="s">
        <v>152</v>
      </c>
      <c r="C75" s="103" t="s">
        <v>108</v>
      </c>
      <c r="D75" s="1">
        <v>0</v>
      </c>
      <c r="E75" s="36">
        <v>686.12</v>
      </c>
      <c r="F75" s="41">
        <v>0.25</v>
      </c>
      <c r="G75" s="348">
        <f t="shared" si="0"/>
        <v>914.82666666666671</v>
      </c>
      <c r="H75" s="348">
        <v>25</v>
      </c>
      <c r="I75" s="83">
        <v>0.15</v>
      </c>
      <c r="J75" s="79">
        <f t="shared" si="1"/>
        <v>28.749999999999996</v>
      </c>
      <c r="K75" s="349">
        <f t="shared" si="2"/>
        <v>0</v>
      </c>
      <c r="L75" s="350">
        <f t="shared" si="3"/>
        <v>943.57666666666671</v>
      </c>
      <c r="M75" s="351">
        <f t="shared" si="4"/>
        <v>0</v>
      </c>
      <c r="N75" s="258"/>
      <c r="O75" s="258"/>
      <c r="P75" s="258"/>
      <c r="Q75" s="258"/>
      <c r="R75" s="258"/>
    </row>
    <row r="76" spans="1:18" ht="14.15" customHeight="1" x14ac:dyDescent="0.3">
      <c r="A76" s="341" t="s">
        <v>153</v>
      </c>
      <c r="B76" s="373" t="s">
        <v>154</v>
      </c>
      <c r="C76" s="103" t="s">
        <v>108</v>
      </c>
      <c r="D76" s="1">
        <v>0</v>
      </c>
      <c r="E76" s="36">
        <v>634</v>
      </c>
      <c r="F76" s="41">
        <v>0.25</v>
      </c>
      <c r="G76" s="348">
        <f t="shared" si="0"/>
        <v>845.33333333333337</v>
      </c>
      <c r="H76" s="348">
        <v>25</v>
      </c>
      <c r="I76" s="83">
        <v>0.15</v>
      </c>
      <c r="J76" s="79">
        <f t="shared" si="1"/>
        <v>28.749999999999996</v>
      </c>
      <c r="K76" s="349">
        <f t="shared" si="2"/>
        <v>0</v>
      </c>
      <c r="L76" s="350">
        <f t="shared" si="3"/>
        <v>874.08333333333337</v>
      </c>
      <c r="M76" s="351">
        <f t="shared" si="4"/>
        <v>0</v>
      </c>
      <c r="N76" s="258"/>
      <c r="O76" s="258"/>
      <c r="P76" s="258"/>
      <c r="Q76" s="258"/>
      <c r="R76" s="258"/>
    </row>
    <row r="77" spans="1:18" ht="14.15" customHeight="1" x14ac:dyDescent="0.3">
      <c r="A77" s="341" t="s">
        <v>155</v>
      </c>
      <c r="B77" s="373" t="s">
        <v>156</v>
      </c>
      <c r="C77" s="96" t="s">
        <v>108</v>
      </c>
      <c r="D77" s="1">
        <v>0</v>
      </c>
      <c r="E77" s="36">
        <v>450</v>
      </c>
      <c r="F77" s="41">
        <v>0.25</v>
      </c>
      <c r="G77" s="348">
        <f t="shared" si="0"/>
        <v>600</v>
      </c>
      <c r="H77" s="348">
        <v>25</v>
      </c>
      <c r="I77" s="83">
        <v>0.15</v>
      </c>
      <c r="J77" s="79">
        <f t="shared" si="1"/>
        <v>28.749999999999996</v>
      </c>
      <c r="K77" s="349">
        <f t="shared" si="2"/>
        <v>0</v>
      </c>
      <c r="L77" s="350">
        <f t="shared" si="3"/>
        <v>628.75</v>
      </c>
      <c r="M77" s="351">
        <f t="shared" si="4"/>
        <v>0</v>
      </c>
      <c r="N77" s="258"/>
      <c r="O77" s="258"/>
      <c r="P77" s="258"/>
      <c r="Q77" s="258"/>
      <c r="R77" s="258"/>
    </row>
    <row r="78" spans="1:18" ht="14.15" customHeight="1" x14ac:dyDescent="0.3">
      <c r="A78" s="341" t="s">
        <v>157</v>
      </c>
      <c r="B78" s="373" t="s">
        <v>158</v>
      </c>
      <c r="C78" s="96" t="s">
        <v>108</v>
      </c>
      <c r="D78" s="1">
        <v>0</v>
      </c>
      <c r="E78" s="36">
        <v>380</v>
      </c>
      <c r="F78" s="41">
        <v>0.25</v>
      </c>
      <c r="G78" s="348">
        <f t="shared" si="0"/>
        <v>506.66666666666669</v>
      </c>
      <c r="H78" s="348">
        <v>25</v>
      </c>
      <c r="I78" s="83">
        <v>0.15</v>
      </c>
      <c r="J78" s="79">
        <f t="shared" si="1"/>
        <v>28.749999999999996</v>
      </c>
      <c r="K78" s="349">
        <f t="shared" si="2"/>
        <v>0</v>
      </c>
      <c r="L78" s="350">
        <f t="shared" si="3"/>
        <v>535.41666666666663</v>
      </c>
      <c r="M78" s="351">
        <f t="shared" si="4"/>
        <v>0</v>
      </c>
      <c r="N78" s="258"/>
      <c r="O78" s="258"/>
      <c r="P78" s="258"/>
      <c r="Q78" s="258"/>
      <c r="R78" s="258"/>
    </row>
    <row r="79" spans="1:18" ht="14.5" customHeight="1" thickBot="1" x14ac:dyDescent="0.35">
      <c r="A79" s="381" t="s">
        <v>159</v>
      </c>
      <c r="B79" s="375" t="s">
        <v>160</v>
      </c>
      <c r="C79" s="99" t="s">
        <v>108</v>
      </c>
      <c r="D79" s="50">
        <v>0</v>
      </c>
      <c r="E79" s="51">
        <f>215</f>
        <v>215</v>
      </c>
      <c r="F79" s="52">
        <v>0.25</v>
      </c>
      <c r="G79" s="376">
        <f t="shared" si="0"/>
        <v>286.66666666666669</v>
      </c>
      <c r="H79" s="376">
        <v>25</v>
      </c>
      <c r="I79" s="83">
        <v>0.15</v>
      </c>
      <c r="J79" s="79">
        <f t="shared" si="1"/>
        <v>28.749999999999996</v>
      </c>
      <c r="K79" s="349">
        <f t="shared" si="2"/>
        <v>0</v>
      </c>
      <c r="L79" s="350">
        <f t="shared" si="3"/>
        <v>315.41666666666669</v>
      </c>
      <c r="M79" s="378">
        <f t="shared" si="4"/>
        <v>0</v>
      </c>
      <c r="N79" s="258"/>
      <c r="O79" s="258"/>
      <c r="P79" s="258"/>
      <c r="Q79" s="258"/>
      <c r="R79" s="258"/>
    </row>
    <row r="80" spans="1:18" ht="14.5" customHeight="1" thickBot="1" x14ac:dyDescent="0.35">
      <c r="A80" s="397"/>
      <c r="B80" s="398"/>
      <c r="C80" s="97"/>
      <c r="D80" s="72"/>
      <c r="E80" s="73"/>
      <c r="F80" s="74"/>
      <c r="G80" s="356"/>
      <c r="H80" s="356"/>
      <c r="I80" s="73"/>
      <c r="J80" s="73"/>
      <c r="K80" s="357"/>
      <c r="L80" s="358"/>
      <c r="M80" s="358"/>
      <c r="N80" s="258"/>
      <c r="O80" s="258"/>
      <c r="P80" s="258"/>
      <c r="Q80" s="258"/>
      <c r="R80" s="258"/>
    </row>
    <row r="81" spans="1:18" ht="14.15" customHeight="1" x14ac:dyDescent="0.3">
      <c r="A81" s="359">
        <v>2.12</v>
      </c>
      <c r="B81" s="399"/>
      <c r="C81" s="100"/>
      <c r="D81" s="58" t="s">
        <v>161</v>
      </c>
      <c r="E81" s="56"/>
      <c r="F81" s="57"/>
      <c r="G81" s="361"/>
      <c r="H81" s="361"/>
      <c r="I81" s="56"/>
      <c r="J81" s="56"/>
      <c r="K81" s="362"/>
      <c r="L81" s="363"/>
      <c r="M81" s="363"/>
      <c r="N81" s="258"/>
      <c r="O81" s="258"/>
      <c r="P81" s="258"/>
      <c r="Q81" s="258"/>
      <c r="R81" s="258"/>
    </row>
    <row r="82" spans="1:18" ht="14.15" customHeight="1" x14ac:dyDescent="0.3">
      <c r="A82" s="341"/>
      <c r="B82" s="368"/>
      <c r="C82" s="96"/>
      <c r="D82" s="1"/>
      <c r="E82" s="36"/>
      <c r="F82" s="41"/>
      <c r="G82" s="348"/>
      <c r="H82" s="348"/>
      <c r="I82" s="79"/>
      <c r="J82" s="79"/>
      <c r="K82" s="349"/>
      <c r="L82" s="350"/>
      <c r="M82" s="351"/>
      <c r="N82" s="258"/>
      <c r="O82" s="258"/>
      <c r="P82" s="258"/>
      <c r="Q82" s="258"/>
      <c r="R82" s="258"/>
    </row>
    <row r="83" spans="1:18" ht="14.15" customHeight="1" x14ac:dyDescent="0.3">
      <c r="A83" s="341" t="s">
        <v>162</v>
      </c>
      <c r="B83" s="373" t="s">
        <v>163</v>
      </c>
      <c r="C83" s="96" t="s">
        <v>108</v>
      </c>
      <c r="D83" s="1">
        <v>8</v>
      </c>
      <c r="E83" s="36">
        <v>109.45</v>
      </c>
      <c r="F83" s="41">
        <v>0.2</v>
      </c>
      <c r="G83" s="348">
        <f>E83/(1-F83)</f>
        <v>136.8125</v>
      </c>
      <c r="H83" s="348">
        <v>50</v>
      </c>
      <c r="I83" s="83">
        <v>0.15</v>
      </c>
      <c r="J83" s="79">
        <f>H83*(1+I83)</f>
        <v>57.499999999999993</v>
      </c>
      <c r="K83" s="349">
        <f>J83*D83</f>
        <v>459.99999999999994</v>
      </c>
      <c r="L83" s="350">
        <f>G83+J83</f>
        <v>194.3125</v>
      </c>
      <c r="M83" s="351">
        <f>D83*L83</f>
        <v>1554.5</v>
      </c>
      <c r="N83" s="258"/>
      <c r="O83" s="258"/>
      <c r="P83" s="258"/>
      <c r="Q83" s="258"/>
      <c r="R83" s="258"/>
    </row>
    <row r="84" spans="1:18" ht="14.15" customHeight="1" x14ac:dyDescent="0.3">
      <c r="A84" s="341"/>
      <c r="B84" s="373" t="s">
        <v>164</v>
      </c>
      <c r="C84" s="96" t="s">
        <v>108</v>
      </c>
      <c r="D84" s="1">
        <v>0</v>
      </c>
      <c r="E84" s="36">
        <v>70.599999999999994</v>
      </c>
      <c r="F84" s="41">
        <v>0.2</v>
      </c>
      <c r="G84" s="348">
        <f>E84/(1-F84)</f>
        <v>88.249999999999986</v>
      </c>
      <c r="H84" s="348">
        <v>50</v>
      </c>
      <c r="I84" s="83">
        <v>0.15</v>
      </c>
      <c r="J84" s="79">
        <f>H84*(1+I84)</f>
        <v>57.499999999999993</v>
      </c>
      <c r="K84" s="349">
        <f>J84*D84</f>
        <v>0</v>
      </c>
      <c r="L84" s="350">
        <f>G84+J84</f>
        <v>145.74999999999997</v>
      </c>
      <c r="M84" s="351">
        <f>D84*L84</f>
        <v>0</v>
      </c>
      <c r="N84" s="258"/>
      <c r="O84" s="258"/>
      <c r="P84" s="258"/>
      <c r="Q84" s="258"/>
      <c r="R84" s="258"/>
    </row>
    <row r="85" spans="1:18" ht="14.5" customHeight="1" thickBot="1" x14ac:dyDescent="0.35">
      <c r="A85" s="381"/>
      <c r="B85" s="375" t="s">
        <v>165</v>
      </c>
      <c r="C85" s="99" t="s">
        <v>108</v>
      </c>
      <c r="D85" s="50">
        <v>0</v>
      </c>
      <c r="E85" s="51">
        <v>22.91</v>
      </c>
      <c r="F85" s="52">
        <v>0.2</v>
      </c>
      <c r="G85" s="376">
        <f>E85/(1-F85)</f>
        <v>28.637499999999999</v>
      </c>
      <c r="H85" s="376">
        <v>50</v>
      </c>
      <c r="I85" s="83">
        <v>0.15</v>
      </c>
      <c r="J85" s="79">
        <f>H85*(1+I85)</f>
        <v>57.499999999999993</v>
      </c>
      <c r="K85" s="349">
        <f>J85*D85</f>
        <v>0</v>
      </c>
      <c r="L85" s="350">
        <f>G85+J85</f>
        <v>86.137499999999989</v>
      </c>
      <c r="M85" s="378">
        <f>D85*L85</f>
        <v>0</v>
      </c>
      <c r="N85" s="258"/>
      <c r="O85" s="258"/>
      <c r="P85" s="258"/>
      <c r="Q85" s="258"/>
      <c r="R85" s="258"/>
    </row>
    <row r="86" spans="1:18" ht="14.5" customHeight="1" thickBot="1" x14ac:dyDescent="0.35">
      <c r="A86" s="397"/>
      <c r="B86" s="398"/>
      <c r="C86" s="97"/>
      <c r="D86" s="72"/>
      <c r="E86" s="73"/>
      <c r="F86" s="74"/>
      <c r="G86" s="356"/>
      <c r="H86" s="356"/>
      <c r="I86" s="73"/>
      <c r="J86" s="73"/>
      <c r="K86" s="357"/>
      <c r="L86" s="358"/>
      <c r="M86" s="358"/>
      <c r="N86" s="258"/>
      <c r="O86" s="258"/>
      <c r="P86" s="258"/>
      <c r="Q86" s="258"/>
      <c r="R86" s="258"/>
    </row>
    <row r="87" spans="1:18" ht="14.15" customHeight="1" x14ac:dyDescent="0.3">
      <c r="A87" s="359">
        <v>2.13</v>
      </c>
      <c r="B87" s="399"/>
      <c r="C87" s="100"/>
      <c r="D87" s="58" t="s">
        <v>166</v>
      </c>
      <c r="E87" s="56"/>
      <c r="F87" s="57"/>
      <c r="G87" s="361"/>
      <c r="H87" s="361"/>
      <c r="I87" s="56"/>
      <c r="J87" s="56"/>
      <c r="K87" s="362"/>
      <c r="L87" s="363"/>
      <c r="M87" s="363"/>
      <c r="N87" s="258"/>
      <c r="O87" s="258"/>
      <c r="P87" s="258"/>
      <c r="Q87" s="258"/>
      <c r="R87" s="258"/>
    </row>
    <row r="88" spans="1:18" ht="14.15" customHeight="1" x14ac:dyDescent="0.3">
      <c r="A88" s="341"/>
      <c r="B88" s="368"/>
      <c r="C88" s="96"/>
      <c r="D88" s="1"/>
      <c r="E88" s="36"/>
      <c r="F88" s="41"/>
      <c r="G88" s="348"/>
      <c r="H88" s="348"/>
      <c r="I88" s="79"/>
      <c r="J88" s="79"/>
      <c r="K88" s="349"/>
      <c r="L88" s="350"/>
      <c r="M88" s="351"/>
      <c r="N88" s="258"/>
      <c r="O88" s="258"/>
      <c r="P88" s="258"/>
      <c r="Q88" s="258"/>
      <c r="R88" s="258"/>
    </row>
    <row r="89" spans="1:18" ht="14.15" customHeight="1" x14ac:dyDescent="0.3">
      <c r="A89" s="341" t="s">
        <v>167</v>
      </c>
      <c r="B89" s="373" t="s">
        <v>168</v>
      </c>
      <c r="C89" s="96" t="s">
        <v>108</v>
      </c>
      <c r="D89" s="1">
        <v>0</v>
      </c>
      <c r="E89" s="36">
        <v>25</v>
      </c>
      <c r="F89" s="41">
        <v>0.2</v>
      </c>
      <c r="G89" s="348">
        <f>E89/(1-F89)</f>
        <v>31.25</v>
      </c>
      <c r="H89" s="348"/>
      <c r="I89" s="83">
        <v>0.15</v>
      </c>
      <c r="J89" s="79">
        <f>H89*(1+I89)</f>
        <v>0</v>
      </c>
      <c r="K89" s="349">
        <f>J89*D89</f>
        <v>0</v>
      </c>
      <c r="L89" s="350">
        <f>G89+J89</f>
        <v>31.25</v>
      </c>
      <c r="M89" s="351">
        <f>D89*L89</f>
        <v>0</v>
      </c>
      <c r="N89" s="258"/>
      <c r="O89" s="318"/>
      <c r="P89" s="258"/>
      <c r="Q89" s="258"/>
      <c r="R89" s="258"/>
    </row>
    <row r="90" spans="1:18" ht="14.15" customHeight="1" x14ac:dyDescent="0.3">
      <c r="A90" s="341" t="s">
        <v>169</v>
      </c>
      <c r="B90" s="373" t="s">
        <v>170</v>
      </c>
      <c r="C90" s="96" t="s">
        <v>108</v>
      </c>
      <c r="D90" s="1">
        <v>0</v>
      </c>
      <c r="E90" s="36">
        <v>33</v>
      </c>
      <c r="F90" s="41">
        <v>0.2</v>
      </c>
      <c r="G90" s="348">
        <f>E90/(1-F90)</f>
        <v>41.25</v>
      </c>
      <c r="H90" s="348"/>
      <c r="I90" s="83">
        <v>0.15</v>
      </c>
      <c r="J90" s="79">
        <f>H90*(1+I90)</f>
        <v>0</v>
      </c>
      <c r="K90" s="349">
        <f>J90*D90</f>
        <v>0</v>
      </c>
      <c r="L90" s="350">
        <f>G90+J90</f>
        <v>41.25</v>
      </c>
      <c r="M90" s="351">
        <f>D90*L90</f>
        <v>0</v>
      </c>
      <c r="N90" s="258"/>
      <c r="O90" s="318"/>
      <c r="P90" s="258"/>
      <c r="Q90" s="258"/>
      <c r="R90" s="258"/>
    </row>
    <row r="91" spans="1:18" ht="14.5" customHeight="1" thickBot="1" x14ac:dyDescent="0.35">
      <c r="A91" s="341" t="s">
        <v>171</v>
      </c>
      <c r="B91" s="401" t="s">
        <v>172</v>
      </c>
      <c r="C91" s="96" t="s">
        <v>108</v>
      </c>
      <c r="D91" s="1">
        <v>0</v>
      </c>
      <c r="E91" s="36">
        <v>37</v>
      </c>
      <c r="F91" s="41">
        <v>0.2</v>
      </c>
      <c r="G91" s="348">
        <f>E91/(1-F91)</f>
        <v>46.25</v>
      </c>
      <c r="H91" s="348"/>
      <c r="I91" s="83">
        <v>0.15</v>
      </c>
      <c r="J91" s="79">
        <f>H91*(1+I91)</f>
        <v>0</v>
      </c>
      <c r="K91" s="349">
        <f>J91*D91</f>
        <v>0</v>
      </c>
      <c r="L91" s="350">
        <f>G91+J91</f>
        <v>46.25</v>
      </c>
      <c r="M91" s="351">
        <f>D91*L91</f>
        <v>0</v>
      </c>
      <c r="N91" s="258"/>
      <c r="O91" s="318"/>
      <c r="P91" s="258"/>
      <c r="Q91" s="258"/>
      <c r="R91" s="258"/>
    </row>
    <row r="92" spans="1:18" ht="14.5" customHeight="1" thickBot="1" x14ac:dyDescent="0.35">
      <c r="A92" s="397"/>
      <c r="B92" s="398"/>
      <c r="C92" s="97"/>
      <c r="D92" s="72"/>
      <c r="E92" s="73"/>
      <c r="F92" s="74"/>
      <c r="G92" s="356"/>
      <c r="H92" s="356"/>
      <c r="I92" s="73"/>
      <c r="J92" s="73"/>
      <c r="K92" s="357"/>
      <c r="L92" s="358"/>
      <c r="M92" s="358"/>
      <c r="N92" s="258"/>
      <c r="O92" s="258"/>
      <c r="P92" s="258"/>
      <c r="Q92" s="258"/>
      <c r="R92" s="258"/>
    </row>
    <row r="93" spans="1:18" s="297" customFormat="1" ht="14.15" customHeight="1" x14ac:dyDescent="0.3">
      <c r="A93" s="402">
        <v>2.14</v>
      </c>
      <c r="B93" s="403"/>
      <c r="C93" s="98"/>
      <c r="D93" s="65" t="s">
        <v>173</v>
      </c>
      <c r="E93" s="53"/>
      <c r="F93" s="54"/>
      <c r="G93" s="391"/>
      <c r="H93" s="391"/>
      <c r="I93" s="53"/>
      <c r="J93" s="53"/>
      <c r="K93" s="392"/>
      <c r="L93" s="393"/>
      <c r="M93" s="393"/>
      <c r="N93" s="258"/>
      <c r="O93" s="258"/>
      <c r="P93" s="258"/>
      <c r="Q93" s="258"/>
      <c r="R93" s="258"/>
    </row>
    <row r="94" spans="1:18" s="297" customFormat="1" ht="14.15" customHeight="1" x14ac:dyDescent="0.3">
      <c r="A94" s="341"/>
      <c r="B94" s="368"/>
      <c r="C94" s="96"/>
      <c r="D94" s="1"/>
      <c r="E94" s="36"/>
      <c r="F94" s="41"/>
      <c r="G94" s="348"/>
      <c r="H94" s="348"/>
      <c r="I94" s="79"/>
      <c r="J94" s="79"/>
      <c r="K94" s="349"/>
      <c r="L94" s="350"/>
      <c r="M94" s="351"/>
      <c r="N94" s="258"/>
      <c r="O94" s="258"/>
      <c r="P94" s="258"/>
      <c r="Q94" s="258"/>
      <c r="R94" s="258"/>
    </row>
    <row r="95" spans="1:18" s="297" customFormat="1" ht="28" customHeight="1" x14ac:dyDescent="0.3">
      <c r="A95" s="341"/>
      <c r="B95" s="373" t="s">
        <v>174</v>
      </c>
      <c r="C95" s="96"/>
      <c r="D95" s="1"/>
      <c r="E95" s="36"/>
      <c r="F95" s="41"/>
      <c r="G95" s="348"/>
      <c r="H95" s="348"/>
      <c r="I95" s="79"/>
      <c r="J95" s="79"/>
      <c r="K95" s="349"/>
      <c r="L95" s="350"/>
      <c r="M95" s="351"/>
      <c r="N95" s="258"/>
      <c r="O95" s="258"/>
      <c r="P95" s="258"/>
      <c r="Q95" s="258"/>
      <c r="R95" s="258"/>
    </row>
    <row r="96" spans="1:18" s="297" customFormat="1" ht="14.15" customHeight="1" x14ac:dyDescent="0.3">
      <c r="A96" s="384"/>
      <c r="B96" s="373"/>
      <c r="C96" s="96"/>
      <c r="D96" s="1"/>
      <c r="E96" s="36"/>
      <c r="F96" s="41"/>
      <c r="G96" s="348"/>
      <c r="H96" s="348"/>
      <c r="I96" s="79"/>
      <c r="J96" s="79"/>
      <c r="K96" s="349"/>
      <c r="L96" s="350"/>
      <c r="M96" s="351"/>
      <c r="N96" s="258"/>
      <c r="O96" s="258"/>
      <c r="P96" s="258"/>
      <c r="Q96" s="258"/>
      <c r="R96" s="258"/>
    </row>
    <row r="97" spans="1:18" s="297" customFormat="1" ht="14.15" customHeight="1" x14ac:dyDescent="0.3">
      <c r="A97" s="341" t="s">
        <v>175</v>
      </c>
      <c r="B97" s="373" t="s">
        <v>150</v>
      </c>
      <c r="C97" s="96" t="s">
        <v>85</v>
      </c>
      <c r="D97" s="1">
        <v>6</v>
      </c>
      <c r="E97" s="36">
        <f>752.54*1.1</f>
        <v>827.79399999999998</v>
      </c>
      <c r="F97" s="41">
        <v>0.2</v>
      </c>
      <c r="G97" s="348">
        <f t="shared" ref="G97:G107" si="5">E97/(1-F97)</f>
        <v>1034.7424999999998</v>
      </c>
      <c r="H97" s="348">
        <f>(250+100)*1.5</f>
        <v>525</v>
      </c>
      <c r="I97" s="83">
        <v>0.15</v>
      </c>
      <c r="J97" s="79">
        <f t="shared" ref="J97:J107" si="6">H97*(1+I97)</f>
        <v>603.75</v>
      </c>
      <c r="K97" s="349">
        <f t="shared" ref="K97:K107" si="7">J97*D97</f>
        <v>3622.5</v>
      </c>
      <c r="L97" s="350">
        <f t="shared" ref="L97:L107" si="8">G97+J97</f>
        <v>1638.4924999999998</v>
      </c>
      <c r="M97" s="351">
        <f t="shared" ref="M97:M107" si="9">D97*L97</f>
        <v>9830.9549999999981</v>
      </c>
      <c r="N97" s="258"/>
      <c r="O97" s="258"/>
      <c r="P97" s="258"/>
      <c r="Q97" s="258"/>
      <c r="R97" s="258"/>
    </row>
    <row r="98" spans="1:18" s="297" customFormat="1" ht="14.15" customHeight="1" x14ac:dyDescent="0.3">
      <c r="A98" s="341" t="s">
        <v>176</v>
      </c>
      <c r="B98" s="373" t="s">
        <v>177</v>
      </c>
      <c r="C98" s="96" t="s">
        <v>85</v>
      </c>
      <c r="D98" s="1">
        <v>0</v>
      </c>
      <c r="E98" s="36">
        <f>350*1.1</f>
        <v>385.00000000000006</v>
      </c>
      <c r="F98" s="41">
        <v>0.2</v>
      </c>
      <c r="G98" s="348">
        <f t="shared" si="5"/>
        <v>481.25000000000006</v>
      </c>
      <c r="H98" s="348">
        <f>(250+100)*1.5</f>
        <v>525</v>
      </c>
      <c r="I98" s="83">
        <v>0.15</v>
      </c>
      <c r="J98" s="79">
        <f t="shared" si="6"/>
        <v>603.75</v>
      </c>
      <c r="K98" s="349">
        <f t="shared" si="7"/>
        <v>0</v>
      </c>
      <c r="L98" s="350">
        <f t="shared" si="8"/>
        <v>1085</v>
      </c>
      <c r="M98" s="351">
        <f t="shared" si="9"/>
        <v>0</v>
      </c>
      <c r="N98" s="258"/>
      <c r="O98" s="258"/>
      <c r="P98" s="258"/>
      <c r="Q98" s="258"/>
      <c r="R98" s="258"/>
    </row>
    <row r="99" spans="1:18" s="297" customFormat="1" ht="14.15" customHeight="1" x14ac:dyDescent="0.3">
      <c r="A99" s="341" t="s">
        <v>178</v>
      </c>
      <c r="B99" s="373" t="s">
        <v>152</v>
      </c>
      <c r="C99" s="96" t="s">
        <v>85</v>
      </c>
      <c r="D99" s="1">
        <v>0</v>
      </c>
      <c r="E99" s="36">
        <v>550</v>
      </c>
      <c r="F99" s="41">
        <v>0.2</v>
      </c>
      <c r="G99" s="348">
        <f t="shared" si="5"/>
        <v>687.5</v>
      </c>
      <c r="H99" s="348">
        <f>(250+100)*1.5</f>
        <v>525</v>
      </c>
      <c r="I99" s="83">
        <v>0.15</v>
      </c>
      <c r="J99" s="79">
        <f t="shared" si="6"/>
        <v>603.75</v>
      </c>
      <c r="K99" s="349">
        <f t="shared" si="7"/>
        <v>0</v>
      </c>
      <c r="L99" s="350">
        <f t="shared" si="8"/>
        <v>1291.25</v>
      </c>
      <c r="M99" s="351">
        <f t="shared" si="9"/>
        <v>0</v>
      </c>
      <c r="N99" s="258"/>
      <c r="O99" s="258"/>
      <c r="P99" s="258"/>
      <c r="Q99" s="258"/>
      <c r="R99" s="258"/>
    </row>
    <row r="100" spans="1:18" s="297" customFormat="1" ht="14.15" customHeight="1" x14ac:dyDescent="0.3">
      <c r="A100" s="341" t="s">
        <v>179</v>
      </c>
      <c r="B100" s="373" t="s">
        <v>154</v>
      </c>
      <c r="C100" s="96" t="s">
        <v>85</v>
      </c>
      <c r="D100" s="1">
        <v>0</v>
      </c>
      <c r="E100" s="36">
        <v>350</v>
      </c>
      <c r="F100" s="41">
        <v>0.2</v>
      </c>
      <c r="G100" s="348">
        <f t="shared" si="5"/>
        <v>437.5</v>
      </c>
      <c r="H100" s="348">
        <v>525</v>
      </c>
      <c r="I100" s="83">
        <v>0.15</v>
      </c>
      <c r="J100" s="79">
        <f t="shared" si="6"/>
        <v>603.75</v>
      </c>
      <c r="K100" s="349">
        <f t="shared" si="7"/>
        <v>0</v>
      </c>
      <c r="L100" s="350">
        <f t="shared" si="8"/>
        <v>1041.25</v>
      </c>
      <c r="M100" s="351">
        <f t="shared" si="9"/>
        <v>0</v>
      </c>
      <c r="N100" s="258"/>
      <c r="O100" s="258"/>
      <c r="P100" s="258"/>
      <c r="Q100" s="258"/>
      <c r="R100" s="258"/>
    </row>
    <row r="101" spans="1:18" s="297" customFormat="1" ht="14.5" customHeight="1" x14ac:dyDescent="0.3">
      <c r="A101" s="341" t="s">
        <v>180</v>
      </c>
      <c r="B101" s="373" t="s">
        <v>156</v>
      </c>
      <c r="C101" s="96" t="s">
        <v>85</v>
      </c>
      <c r="D101" s="1">
        <v>0</v>
      </c>
      <c r="E101" s="36"/>
      <c r="F101" s="41"/>
      <c r="G101" s="348">
        <f t="shared" si="5"/>
        <v>0</v>
      </c>
      <c r="H101" s="348">
        <v>525</v>
      </c>
      <c r="I101" s="83">
        <v>0.15</v>
      </c>
      <c r="J101" s="79">
        <f t="shared" si="6"/>
        <v>603.75</v>
      </c>
      <c r="K101" s="349">
        <f t="shared" si="7"/>
        <v>0</v>
      </c>
      <c r="L101" s="350">
        <f t="shared" si="8"/>
        <v>603.75</v>
      </c>
      <c r="M101" s="351">
        <f t="shared" si="9"/>
        <v>0</v>
      </c>
      <c r="N101" s="258"/>
      <c r="O101" s="258"/>
      <c r="P101" s="258"/>
      <c r="Q101" s="258"/>
      <c r="R101" s="258"/>
    </row>
    <row r="102" spans="1:18" s="297" customFormat="1" ht="14.15" customHeight="1" x14ac:dyDescent="0.3">
      <c r="A102" s="341" t="s">
        <v>181</v>
      </c>
      <c r="B102" s="373" t="s">
        <v>158</v>
      </c>
      <c r="C102" s="96" t="s">
        <v>85</v>
      </c>
      <c r="D102" s="1">
        <v>0</v>
      </c>
      <c r="E102" s="36">
        <v>350</v>
      </c>
      <c r="F102" s="41">
        <v>0.2</v>
      </c>
      <c r="G102" s="348">
        <f t="shared" si="5"/>
        <v>437.5</v>
      </c>
      <c r="H102" s="348">
        <v>525</v>
      </c>
      <c r="I102" s="83">
        <v>0.15</v>
      </c>
      <c r="J102" s="79">
        <f t="shared" si="6"/>
        <v>603.75</v>
      </c>
      <c r="K102" s="349">
        <f t="shared" si="7"/>
        <v>0</v>
      </c>
      <c r="L102" s="350">
        <f t="shared" si="8"/>
        <v>1041.25</v>
      </c>
      <c r="M102" s="351">
        <f t="shared" si="9"/>
        <v>0</v>
      </c>
      <c r="N102" s="258"/>
      <c r="O102" s="258"/>
      <c r="P102" s="258"/>
      <c r="Q102" s="258"/>
      <c r="R102" s="258"/>
    </row>
    <row r="103" spans="1:18" s="297" customFormat="1" ht="14.15" customHeight="1" x14ac:dyDescent="0.3">
      <c r="A103" s="341" t="s">
        <v>182</v>
      </c>
      <c r="B103" s="373" t="s">
        <v>160</v>
      </c>
      <c r="C103" s="96" t="s">
        <v>85</v>
      </c>
      <c r="D103" s="1">
        <v>0</v>
      </c>
      <c r="E103" s="36">
        <v>350</v>
      </c>
      <c r="F103" s="41">
        <v>0.2</v>
      </c>
      <c r="G103" s="348">
        <f t="shared" si="5"/>
        <v>437.5</v>
      </c>
      <c r="H103" s="348">
        <v>525</v>
      </c>
      <c r="I103" s="83">
        <v>0.15</v>
      </c>
      <c r="J103" s="79">
        <f t="shared" si="6"/>
        <v>603.75</v>
      </c>
      <c r="K103" s="349">
        <f t="shared" si="7"/>
        <v>0</v>
      </c>
      <c r="L103" s="350">
        <f t="shared" si="8"/>
        <v>1041.25</v>
      </c>
      <c r="M103" s="351">
        <f t="shared" si="9"/>
        <v>0</v>
      </c>
      <c r="N103" s="258"/>
      <c r="O103" s="258"/>
      <c r="P103" s="258"/>
      <c r="Q103" s="258"/>
      <c r="R103" s="258"/>
    </row>
    <row r="104" spans="1:18" s="297" customFormat="1" ht="14.15" customHeight="1" x14ac:dyDescent="0.3">
      <c r="A104" s="341" t="s">
        <v>183</v>
      </c>
      <c r="B104" s="373" t="s">
        <v>184</v>
      </c>
      <c r="C104" s="96" t="s">
        <v>85</v>
      </c>
      <c r="D104" s="1">
        <v>4</v>
      </c>
      <c r="E104" s="36"/>
      <c r="F104" s="41"/>
      <c r="G104" s="348">
        <f t="shared" si="5"/>
        <v>0</v>
      </c>
      <c r="H104" s="348">
        <v>525</v>
      </c>
      <c r="I104" s="83">
        <v>0.15</v>
      </c>
      <c r="J104" s="79">
        <f t="shared" si="6"/>
        <v>603.75</v>
      </c>
      <c r="K104" s="349">
        <f t="shared" si="7"/>
        <v>2415</v>
      </c>
      <c r="L104" s="350">
        <f t="shared" si="8"/>
        <v>603.75</v>
      </c>
      <c r="M104" s="351">
        <f t="shared" si="9"/>
        <v>2415</v>
      </c>
      <c r="N104" s="258"/>
      <c r="O104" s="258"/>
      <c r="P104" s="258"/>
      <c r="Q104" s="258"/>
      <c r="R104" s="258"/>
    </row>
    <row r="105" spans="1:18" s="297" customFormat="1" ht="14.15" customHeight="1" x14ac:dyDescent="0.3">
      <c r="A105" s="341" t="s">
        <v>185</v>
      </c>
      <c r="B105" s="373" t="s">
        <v>186</v>
      </c>
      <c r="C105" s="96" t="s">
        <v>85</v>
      </c>
      <c r="D105" s="1">
        <v>0</v>
      </c>
      <c r="E105" s="36">
        <v>250</v>
      </c>
      <c r="F105" s="41">
        <v>0.2</v>
      </c>
      <c r="G105" s="348">
        <f t="shared" si="5"/>
        <v>312.5</v>
      </c>
      <c r="H105" s="348">
        <v>525</v>
      </c>
      <c r="I105" s="83">
        <v>0.15</v>
      </c>
      <c r="J105" s="79">
        <f t="shared" si="6"/>
        <v>603.75</v>
      </c>
      <c r="K105" s="349">
        <f t="shared" si="7"/>
        <v>0</v>
      </c>
      <c r="L105" s="350">
        <f t="shared" si="8"/>
        <v>916.25</v>
      </c>
      <c r="M105" s="351">
        <f t="shared" si="9"/>
        <v>0</v>
      </c>
      <c r="N105" s="258"/>
      <c r="O105" s="258"/>
      <c r="P105" s="258"/>
      <c r="Q105" s="258"/>
      <c r="R105" s="258"/>
    </row>
    <row r="106" spans="1:18" s="297" customFormat="1" ht="14.15" customHeight="1" x14ac:dyDescent="0.3">
      <c r="A106" s="341" t="s">
        <v>187</v>
      </c>
      <c r="B106" s="373" t="s">
        <v>188</v>
      </c>
      <c r="C106" s="96" t="s">
        <v>85</v>
      </c>
      <c r="D106" s="1">
        <v>0</v>
      </c>
      <c r="E106" s="36">
        <v>500</v>
      </c>
      <c r="F106" s="41">
        <v>0.2</v>
      </c>
      <c r="G106" s="348">
        <f t="shared" si="5"/>
        <v>625</v>
      </c>
      <c r="H106" s="348">
        <v>525</v>
      </c>
      <c r="I106" s="83">
        <v>0.15</v>
      </c>
      <c r="J106" s="79">
        <f t="shared" si="6"/>
        <v>603.75</v>
      </c>
      <c r="K106" s="349">
        <f t="shared" si="7"/>
        <v>0</v>
      </c>
      <c r="L106" s="350">
        <f t="shared" si="8"/>
        <v>1228.75</v>
      </c>
      <c r="M106" s="351">
        <f t="shared" si="9"/>
        <v>0</v>
      </c>
      <c r="N106" s="258"/>
      <c r="O106" s="258"/>
      <c r="P106" s="258"/>
      <c r="Q106" s="258"/>
      <c r="R106" s="258"/>
    </row>
    <row r="107" spans="1:18" s="297" customFormat="1" ht="14.5" customHeight="1" thickBot="1" x14ac:dyDescent="0.35">
      <c r="A107" s="381" t="s">
        <v>189</v>
      </c>
      <c r="B107" s="375" t="s">
        <v>190</v>
      </c>
      <c r="C107" s="99" t="s">
        <v>85</v>
      </c>
      <c r="D107" s="50">
        <v>0</v>
      </c>
      <c r="E107" s="51">
        <v>500</v>
      </c>
      <c r="F107" s="52">
        <v>0.2</v>
      </c>
      <c r="G107" s="376">
        <f t="shared" si="5"/>
        <v>625</v>
      </c>
      <c r="H107" s="376">
        <v>525</v>
      </c>
      <c r="I107" s="84">
        <v>0.15</v>
      </c>
      <c r="J107" s="80">
        <f t="shared" si="6"/>
        <v>603.75</v>
      </c>
      <c r="K107" s="382">
        <f t="shared" si="7"/>
        <v>0</v>
      </c>
      <c r="L107" s="350">
        <f t="shared" si="8"/>
        <v>1228.75</v>
      </c>
      <c r="M107" s="378">
        <f t="shared" si="9"/>
        <v>0</v>
      </c>
      <c r="N107" s="258"/>
      <c r="O107" s="258"/>
      <c r="P107" s="258"/>
      <c r="Q107" s="258"/>
      <c r="R107" s="258"/>
    </row>
    <row r="108" spans="1:18" s="297" customFormat="1" ht="14.5" customHeight="1" thickBot="1" x14ac:dyDescent="0.35">
      <c r="A108" s="404"/>
      <c r="B108" s="405"/>
      <c r="C108" s="96"/>
      <c r="D108" s="1"/>
      <c r="E108" s="36"/>
      <c r="F108" s="41"/>
      <c r="G108" s="348"/>
      <c r="H108" s="348"/>
      <c r="I108" s="79"/>
      <c r="J108" s="79"/>
      <c r="K108" s="406"/>
      <c r="L108" s="350"/>
      <c r="M108" s="351"/>
      <c r="N108" s="258"/>
      <c r="O108" s="258"/>
      <c r="P108" s="258"/>
      <c r="Q108" s="258"/>
      <c r="R108" s="258"/>
    </row>
    <row r="109" spans="1:18" ht="14.15" customHeight="1" x14ac:dyDescent="0.3">
      <c r="A109" s="359">
        <v>2.15</v>
      </c>
      <c r="B109" s="399"/>
      <c r="C109" s="100"/>
      <c r="D109" s="58" t="s">
        <v>191</v>
      </c>
      <c r="E109" s="56"/>
      <c r="F109" s="57"/>
      <c r="G109" s="361"/>
      <c r="H109" s="361"/>
      <c r="I109" s="56"/>
      <c r="J109" s="56"/>
      <c r="K109" s="362"/>
      <c r="L109" s="363"/>
      <c r="M109" s="363"/>
      <c r="N109" s="258"/>
      <c r="O109" s="258"/>
      <c r="P109" s="258"/>
      <c r="Q109" s="258"/>
      <c r="R109" s="258"/>
    </row>
    <row r="110" spans="1:18" ht="14.15" customHeight="1" x14ac:dyDescent="0.3">
      <c r="A110" s="341"/>
      <c r="B110" s="368"/>
      <c r="C110" s="96"/>
      <c r="D110" s="1"/>
      <c r="E110" s="36"/>
      <c r="F110" s="41"/>
      <c r="G110" s="348"/>
      <c r="H110" s="348"/>
      <c r="I110" s="79"/>
      <c r="J110" s="79"/>
      <c r="K110" s="349"/>
      <c r="L110" s="350"/>
      <c r="M110" s="351"/>
      <c r="N110" s="258"/>
      <c r="O110" s="258"/>
      <c r="P110" s="258"/>
      <c r="Q110" s="258"/>
      <c r="R110" s="258"/>
    </row>
    <row r="111" spans="1:18" ht="28" customHeight="1" x14ac:dyDescent="0.3">
      <c r="A111" s="341"/>
      <c r="B111" s="373" t="s">
        <v>192</v>
      </c>
      <c r="C111" s="96"/>
      <c r="D111" s="1"/>
      <c r="E111" s="36"/>
      <c r="F111" s="41"/>
      <c r="G111" s="348"/>
      <c r="H111" s="348"/>
      <c r="I111" s="79"/>
      <c r="J111" s="79"/>
      <c r="K111" s="349"/>
      <c r="L111" s="350"/>
      <c r="M111" s="351"/>
      <c r="N111" s="258"/>
      <c r="O111" s="258"/>
      <c r="P111" s="353"/>
      <c r="Q111" s="258"/>
      <c r="R111" s="258"/>
    </row>
    <row r="112" spans="1:18" ht="14.15" customHeight="1" x14ac:dyDescent="0.3">
      <c r="A112" s="384"/>
      <c r="B112" s="373"/>
      <c r="C112" s="96"/>
      <c r="D112" s="1"/>
      <c r="E112" s="36"/>
      <c r="F112" s="41"/>
      <c r="G112" s="348"/>
      <c r="H112" s="348"/>
      <c r="I112" s="79"/>
      <c r="J112" s="79"/>
      <c r="K112" s="349"/>
      <c r="L112" s="350"/>
      <c r="M112" s="351"/>
      <c r="N112" s="258"/>
      <c r="O112" s="258"/>
      <c r="P112" s="258"/>
      <c r="Q112" s="258"/>
      <c r="R112" s="258"/>
    </row>
    <row r="113" spans="1:18" ht="14.15" customHeight="1" x14ac:dyDescent="0.3">
      <c r="A113" s="341" t="s">
        <v>193</v>
      </c>
      <c r="B113" s="373" t="s">
        <v>194</v>
      </c>
      <c r="C113" s="96" t="s">
        <v>85</v>
      </c>
      <c r="D113" s="1">
        <v>0</v>
      </c>
      <c r="E113" s="36">
        <f>132*(15+10+10)</f>
        <v>4620</v>
      </c>
      <c r="F113" s="41">
        <v>0.2</v>
      </c>
      <c r="G113" s="348">
        <f>E113/(1-F113)</f>
        <v>5775</v>
      </c>
      <c r="H113" s="348">
        <f>9*(15+10+10)</f>
        <v>315</v>
      </c>
      <c r="I113" s="83">
        <v>0.15</v>
      </c>
      <c r="J113" s="79">
        <f>H113*(1+I113)</f>
        <v>362.25</v>
      </c>
      <c r="K113" s="349">
        <f>J113*D113</f>
        <v>0</v>
      </c>
      <c r="L113" s="350">
        <f>G113+J113</f>
        <v>6137.25</v>
      </c>
      <c r="M113" s="351">
        <f>D113*L113</f>
        <v>0</v>
      </c>
      <c r="N113" s="258"/>
      <c r="O113" s="258"/>
      <c r="P113" s="258"/>
      <c r="Q113" s="258"/>
      <c r="R113" s="258"/>
    </row>
    <row r="114" spans="1:18" ht="14.5" customHeight="1" thickBot="1" x14ac:dyDescent="0.35">
      <c r="A114" s="381" t="s">
        <v>195</v>
      </c>
      <c r="B114" s="375" t="s">
        <v>196</v>
      </c>
      <c r="C114" s="99" t="s">
        <v>85</v>
      </c>
      <c r="D114" s="50">
        <v>18</v>
      </c>
      <c r="E114" s="51">
        <f>30</f>
        <v>30</v>
      </c>
      <c r="F114" s="52">
        <v>0.2</v>
      </c>
      <c r="G114" s="376">
        <f>E114/(1-F114)</f>
        <v>37.5</v>
      </c>
      <c r="H114" s="376">
        <f>15</f>
        <v>15</v>
      </c>
      <c r="I114" s="84">
        <v>0.15</v>
      </c>
      <c r="J114" s="80">
        <f>H114*(1+I114)</f>
        <v>17.25</v>
      </c>
      <c r="K114" s="382">
        <f>J114*D114</f>
        <v>310.5</v>
      </c>
      <c r="L114" s="407">
        <f>G114+J114</f>
        <v>54.75</v>
      </c>
      <c r="M114" s="378">
        <f>D114*L114</f>
        <v>985.5</v>
      </c>
      <c r="N114" s="258"/>
      <c r="O114" s="258"/>
      <c r="P114" s="258"/>
      <c r="Q114" s="258"/>
      <c r="R114" s="258"/>
    </row>
    <row r="115" spans="1:18" ht="14.5" customHeight="1" thickBot="1" x14ac:dyDescent="0.35">
      <c r="A115" s="258"/>
      <c r="B115" s="405"/>
      <c r="C115" s="96"/>
      <c r="D115" s="1"/>
      <c r="E115" s="36"/>
      <c r="F115" s="41"/>
      <c r="G115" s="348"/>
      <c r="H115" s="348"/>
      <c r="I115" s="79"/>
      <c r="J115" s="79"/>
      <c r="K115" s="406"/>
      <c r="L115" s="350"/>
      <c r="M115" s="351"/>
      <c r="N115" s="258"/>
      <c r="O115" s="258"/>
      <c r="P115" s="258"/>
      <c r="Q115" s="258"/>
      <c r="R115" s="258"/>
    </row>
    <row r="116" spans="1:18" ht="14.15" customHeight="1" x14ac:dyDescent="0.3">
      <c r="A116" s="359">
        <v>2.16</v>
      </c>
      <c r="B116" s="399"/>
      <c r="C116" s="100"/>
      <c r="D116" s="58" t="s">
        <v>197</v>
      </c>
      <c r="E116" s="56"/>
      <c r="F116" s="57"/>
      <c r="G116" s="361"/>
      <c r="H116" s="361"/>
      <c r="I116" s="56"/>
      <c r="J116" s="56"/>
      <c r="K116" s="362"/>
      <c r="L116" s="363"/>
      <c r="M116" s="363"/>
      <c r="N116" s="258"/>
      <c r="O116" s="258"/>
      <c r="P116" s="258"/>
      <c r="Q116" s="258"/>
      <c r="R116" s="258"/>
    </row>
    <row r="117" spans="1:18" ht="14.15" customHeight="1" x14ac:dyDescent="0.3">
      <c r="A117" s="341"/>
      <c r="B117" s="368"/>
      <c r="C117" s="96"/>
      <c r="D117" s="1"/>
      <c r="E117" s="36"/>
      <c r="F117" s="41"/>
      <c r="G117" s="348"/>
      <c r="H117" s="348"/>
      <c r="I117" s="79"/>
      <c r="J117" s="79"/>
      <c r="K117" s="349"/>
      <c r="L117" s="350"/>
      <c r="M117" s="351"/>
      <c r="N117" s="258"/>
      <c r="O117" s="258"/>
      <c r="P117" s="258"/>
      <c r="Q117" s="258"/>
      <c r="R117" s="258"/>
    </row>
    <row r="118" spans="1:18" ht="28.5" customHeight="1" thickBot="1" x14ac:dyDescent="0.35">
      <c r="A118" s="381" t="s">
        <v>198</v>
      </c>
      <c r="B118" s="375" t="s">
        <v>199</v>
      </c>
      <c r="C118" s="99" t="s">
        <v>108</v>
      </c>
      <c r="D118" s="50">
        <v>10</v>
      </c>
      <c r="E118" s="51">
        <v>5</v>
      </c>
      <c r="F118" s="52">
        <v>0.2</v>
      </c>
      <c r="G118" s="376">
        <f>E118/(1-F118)</f>
        <v>6.25</v>
      </c>
      <c r="H118" s="376">
        <f>(100*3)</f>
        <v>300</v>
      </c>
      <c r="I118" s="84">
        <v>0.15</v>
      </c>
      <c r="J118" s="80">
        <f>H118*(1+I118)</f>
        <v>345</v>
      </c>
      <c r="K118" s="382">
        <f>J118*D118</f>
        <v>3450</v>
      </c>
      <c r="L118" s="407">
        <f>G118+J118</f>
        <v>351.25</v>
      </c>
      <c r="M118" s="378">
        <f>D118*L118</f>
        <v>3512.5</v>
      </c>
      <c r="N118" s="258"/>
      <c r="O118" s="258"/>
      <c r="P118" s="258"/>
      <c r="Q118" s="258"/>
      <c r="R118" s="258"/>
    </row>
    <row r="119" spans="1:18" ht="13.4" customHeight="1" thickBot="1" x14ac:dyDescent="0.35">
      <c r="A119" s="404"/>
      <c r="B119" s="405"/>
      <c r="C119" s="96"/>
      <c r="D119" s="1"/>
      <c r="E119" s="36"/>
      <c r="F119" s="41"/>
      <c r="G119" s="348"/>
      <c r="H119" s="348"/>
      <c r="I119" s="79"/>
      <c r="J119" s="79"/>
      <c r="K119" s="406"/>
      <c r="L119" s="350"/>
      <c r="M119" s="351"/>
      <c r="N119" s="258"/>
      <c r="O119" s="258"/>
      <c r="P119" s="258"/>
      <c r="Q119" s="258"/>
      <c r="R119" s="258"/>
    </row>
    <row r="120" spans="1:18" ht="14.15" customHeight="1" x14ac:dyDescent="0.3">
      <c r="A120" s="359">
        <v>2.17</v>
      </c>
      <c r="B120" s="399"/>
      <c r="C120" s="100"/>
      <c r="D120" s="58" t="s">
        <v>200</v>
      </c>
      <c r="E120" s="56"/>
      <c r="F120" s="57"/>
      <c r="G120" s="361"/>
      <c r="H120" s="361"/>
      <c r="I120" s="56"/>
      <c r="J120" s="56"/>
      <c r="K120" s="362"/>
      <c r="L120" s="363"/>
      <c r="M120" s="363"/>
      <c r="N120" s="258"/>
      <c r="O120" s="258"/>
      <c r="P120" s="258"/>
      <c r="Q120" s="258"/>
      <c r="R120" s="258"/>
    </row>
    <row r="121" spans="1:18" ht="14.15" customHeight="1" x14ac:dyDescent="0.3">
      <c r="A121" s="341"/>
      <c r="B121" s="408"/>
      <c r="C121" s="96"/>
      <c r="D121" s="1"/>
      <c r="E121" s="36"/>
      <c r="F121" s="41"/>
      <c r="G121" s="348"/>
      <c r="H121" s="348"/>
      <c r="I121" s="79"/>
      <c r="J121" s="79"/>
      <c r="K121" s="349"/>
      <c r="L121" s="350"/>
      <c r="M121" s="351"/>
      <c r="N121" s="258"/>
      <c r="O121" s="258"/>
      <c r="P121" s="258"/>
      <c r="Q121" s="258"/>
      <c r="R121" s="258"/>
    </row>
    <row r="122" spans="1:18" ht="14.15" customHeight="1" x14ac:dyDescent="0.3">
      <c r="A122" s="341"/>
      <c r="B122" s="373" t="s">
        <v>201</v>
      </c>
      <c r="C122" s="96"/>
      <c r="D122" s="1"/>
      <c r="E122" s="36"/>
      <c r="F122" s="41"/>
      <c r="G122" s="348"/>
      <c r="H122" s="348"/>
      <c r="I122" s="79"/>
      <c r="J122" s="79"/>
      <c r="K122" s="349"/>
      <c r="L122" s="350"/>
      <c r="M122" s="351"/>
      <c r="N122" s="258"/>
      <c r="O122" s="258"/>
      <c r="P122" s="258"/>
      <c r="Q122" s="258"/>
      <c r="R122" s="258"/>
    </row>
    <row r="123" spans="1:18" ht="14.15" customHeight="1" x14ac:dyDescent="0.3">
      <c r="A123" s="384"/>
      <c r="B123" s="409"/>
      <c r="C123" s="96"/>
      <c r="D123" s="1"/>
      <c r="E123" s="36"/>
      <c r="F123" s="41"/>
      <c r="G123" s="348"/>
      <c r="H123" s="348"/>
      <c r="I123" s="79"/>
      <c r="J123" s="79"/>
      <c r="K123" s="349"/>
      <c r="L123" s="350"/>
      <c r="M123" s="351"/>
      <c r="N123" s="258"/>
      <c r="O123" s="258"/>
      <c r="P123" s="258"/>
      <c r="Q123" s="258"/>
      <c r="R123" s="258"/>
    </row>
    <row r="124" spans="1:18" ht="28" customHeight="1" x14ac:dyDescent="0.3">
      <c r="A124" s="341" t="s">
        <v>202</v>
      </c>
      <c r="B124" s="373" t="s">
        <v>203</v>
      </c>
      <c r="C124" s="96" t="s">
        <v>42</v>
      </c>
      <c r="D124" s="1">
        <v>0</v>
      </c>
      <c r="E124" s="36"/>
      <c r="F124" s="41">
        <v>0.2</v>
      </c>
      <c r="G124" s="348">
        <f>E124/(1-F124)</f>
        <v>0</v>
      </c>
      <c r="H124" s="348">
        <f>140*(20+60+200)</f>
        <v>39200</v>
      </c>
      <c r="I124" s="83">
        <v>0.15</v>
      </c>
      <c r="J124" s="79">
        <f>H124*(1+I124)</f>
        <v>45080</v>
      </c>
      <c r="K124" s="349">
        <f>J124*D124</f>
        <v>0</v>
      </c>
      <c r="L124" s="350">
        <f>G124+J124</f>
        <v>45080</v>
      </c>
      <c r="M124" s="351">
        <f>D124*L124</f>
        <v>0</v>
      </c>
      <c r="N124" s="258"/>
      <c r="O124" s="258"/>
      <c r="P124" s="258"/>
      <c r="Q124" s="258"/>
      <c r="R124" s="258"/>
    </row>
    <row r="125" spans="1:18" s="297" customFormat="1" ht="28" customHeight="1" x14ac:dyDescent="0.3">
      <c r="A125" s="341" t="s">
        <v>204</v>
      </c>
      <c r="B125" s="373" t="s">
        <v>205</v>
      </c>
      <c r="C125" s="96" t="s">
        <v>42</v>
      </c>
      <c r="D125" s="1">
        <v>0</v>
      </c>
      <c r="E125" s="36"/>
      <c r="F125" s="41">
        <v>0.2</v>
      </c>
      <c r="G125" s="348">
        <f>E125/(1-F125)</f>
        <v>0</v>
      </c>
      <c r="H125" s="348">
        <f>140*(20+60+200)</f>
        <v>39200</v>
      </c>
      <c r="I125" s="83">
        <v>0.15</v>
      </c>
      <c r="J125" s="79">
        <f>H125*(1+I125)</f>
        <v>45080</v>
      </c>
      <c r="K125" s="349">
        <f>J125*D125</f>
        <v>0</v>
      </c>
      <c r="L125" s="350">
        <f>G125+J125</f>
        <v>45080</v>
      </c>
      <c r="M125" s="351">
        <f>D125*L125</f>
        <v>0</v>
      </c>
      <c r="N125" s="258"/>
      <c r="O125" s="258"/>
      <c r="P125" s="258"/>
      <c r="Q125" s="258"/>
      <c r="R125" s="258"/>
    </row>
    <row r="126" spans="1:18" s="297" customFormat="1" ht="14.15" customHeight="1" x14ac:dyDescent="0.3">
      <c r="A126" s="341" t="s">
        <v>206</v>
      </c>
      <c r="B126" s="373" t="s">
        <v>207</v>
      </c>
      <c r="C126" s="96" t="s">
        <v>42</v>
      </c>
      <c r="D126" s="1">
        <v>0</v>
      </c>
      <c r="E126" s="36">
        <f>35*(50+50)</f>
        <v>3500</v>
      </c>
      <c r="F126" s="41">
        <v>0.2</v>
      </c>
      <c r="G126" s="348">
        <f>E126/(1-F126)</f>
        <v>4375</v>
      </c>
      <c r="H126" s="348">
        <f>5*(50+50+50)</f>
        <v>750</v>
      </c>
      <c r="I126" s="83">
        <v>0.15</v>
      </c>
      <c r="J126" s="79">
        <f>H126*(1+I126)</f>
        <v>862.49999999999989</v>
      </c>
      <c r="K126" s="349">
        <f>J126*D126</f>
        <v>0</v>
      </c>
      <c r="L126" s="350">
        <f>G126+J126</f>
        <v>5237.5</v>
      </c>
      <c r="M126" s="351">
        <f>D126*L126</f>
        <v>0</v>
      </c>
      <c r="N126" s="258"/>
      <c r="O126" s="258"/>
      <c r="P126" s="258"/>
      <c r="Q126" s="258"/>
      <c r="R126" s="258"/>
    </row>
    <row r="127" spans="1:18" s="297" customFormat="1" ht="14.5" customHeight="1" thickBot="1" x14ac:dyDescent="0.35">
      <c r="A127" s="381" t="s">
        <v>208</v>
      </c>
      <c r="B127" s="375" t="s">
        <v>209</v>
      </c>
      <c r="C127" s="99" t="s">
        <v>42</v>
      </c>
      <c r="D127" s="50">
        <v>0</v>
      </c>
      <c r="E127" s="51">
        <f>4500*3</f>
        <v>13500</v>
      </c>
      <c r="F127" s="52">
        <v>0.2</v>
      </c>
      <c r="G127" s="376">
        <f>E127/(1-F127)</f>
        <v>16875</v>
      </c>
      <c r="H127" s="376">
        <v>5</v>
      </c>
      <c r="I127" s="84">
        <v>0.15</v>
      </c>
      <c r="J127" s="80">
        <f>H127*(1+I127)</f>
        <v>5.75</v>
      </c>
      <c r="K127" s="382">
        <f>J127*D127</f>
        <v>0</v>
      </c>
      <c r="L127" s="407">
        <f>G127+J127</f>
        <v>16880.75</v>
      </c>
      <c r="M127" s="378">
        <f>D127*L127</f>
        <v>0</v>
      </c>
      <c r="N127" s="258"/>
      <c r="O127" s="258"/>
      <c r="P127" s="258"/>
      <c r="Q127" s="258"/>
      <c r="R127" s="258"/>
    </row>
    <row r="128" spans="1:18" s="297" customFormat="1" ht="14.5" customHeight="1" thickBot="1" x14ac:dyDescent="0.35">
      <c r="A128" s="404"/>
      <c r="B128" s="410"/>
      <c r="C128" s="28"/>
      <c r="D128" s="1"/>
      <c r="E128" s="36"/>
      <c r="F128" s="41"/>
      <c r="G128" s="348"/>
      <c r="H128" s="348"/>
      <c r="I128" s="79"/>
      <c r="J128" s="79"/>
      <c r="K128" s="406"/>
      <c r="L128" s="350"/>
      <c r="M128" s="351"/>
      <c r="N128" s="258"/>
      <c r="O128" s="258"/>
      <c r="P128" s="258"/>
      <c r="Q128" s="258"/>
      <c r="R128" s="258"/>
    </row>
    <row r="129" spans="1:18" s="297" customFormat="1" ht="14.15" customHeight="1" x14ac:dyDescent="0.3">
      <c r="A129" s="359">
        <v>2.1800000000000002</v>
      </c>
      <c r="B129" s="399"/>
      <c r="C129" s="100"/>
      <c r="D129" s="55" t="s">
        <v>210</v>
      </c>
      <c r="E129" s="56"/>
      <c r="F129" s="57"/>
      <c r="G129" s="361"/>
      <c r="H129" s="361"/>
      <c r="I129" s="56"/>
      <c r="J129" s="56"/>
      <c r="K129" s="362"/>
      <c r="L129" s="363"/>
      <c r="M129" s="363"/>
      <c r="N129" s="258"/>
      <c r="O129" s="258"/>
      <c r="P129" s="258"/>
      <c r="Q129" s="258"/>
      <c r="R129" s="258"/>
    </row>
    <row r="130" spans="1:18" s="297" customFormat="1" ht="14.15" customHeight="1" x14ac:dyDescent="0.3">
      <c r="A130" s="341"/>
      <c r="B130" s="408"/>
      <c r="C130" s="96"/>
      <c r="D130" s="1"/>
      <c r="E130" s="36"/>
      <c r="F130" s="41"/>
      <c r="G130" s="348"/>
      <c r="H130" s="348"/>
      <c r="I130" s="79"/>
      <c r="J130" s="79"/>
      <c r="K130" s="349"/>
      <c r="L130" s="350"/>
      <c r="M130" s="351"/>
      <c r="N130" s="258"/>
      <c r="O130" s="258"/>
      <c r="P130" s="258"/>
      <c r="Q130" s="258"/>
      <c r="R130" s="258"/>
    </row>
    <row r="131" spans="1:18" s="297" customFormat="1" ht="14.15" customHeight="1" x14ac:dyDescent="0.3">
      <c r="A131" s="341" t="s">
        <v>211</v>
      </c>
      <c r="B131" s="373" t="s">
        <v>212</v>
      </c>
      <c r="C131" s="96" t="s">
        <v>42</v>
      </c>
      <c r="D131" s="1">
        <v>0</v>
      </c>
      <c r="E131" s="36">
        <v>0</v>
      </c>
      <c r="F131" s="41">
        <v>0.2</v>
      </c>
      <c r="G131" s="348">
        <f>E131/(1-F131)</f>
        <v>0</v>
      </c>
      <c r="H131" s="348">
        <f>2500*3</f>
        <v>7500</v>
      </c>
      <c r="I131" s="79"/>
      <c r="J131" s="79"/>
      <c r="K131" s="349">
        <f>H131*D131</f>
        <v>0</v>
      </c>
      <c r="L131" s="350">
        <f>G131+J131</f>
        <v>0</v>
      </c>
      <c r="M131" s="351">
        <f>D131*L131</f>
        <v>0</v>
      </c>
      <c r="N131" s="258"/>
      <c r="O131" s="258"/>
      <c r="P131" s="258"/>
      <c r="Q131" s="258"/>
      <c r="R131" s="258"/>
    </row>
    <row r="132" spans="1:18" s="297" customFormat="1" ht="14.5" customHeight="1" thickBot="1" x14ac:dyDescent="0.35">
      <c r="A132" s="381"/>
      <c r="B132" s="411"/>
      <c r="C132" s="77"/>
      <c r="D132" s="50"/>
      <c r="E132" s="51"/>
      <c r="F132" s="52"/>
      <c r="G132" s="376"/>
      <c r="H132" s="376"/>
      <c r="I132" s="80"/>
      <c r="J132" s="80"/>
      <c r="K132" s="382">
        <f>H132*D132</f>
        <v>0</v>
      </c>
      <c r="L132" s="412"/>
      <c r="M132" s="378"/>
      <c r="N132" s="258"/>
      <c r="O132" s="258"/>
      <c r="P132" s="258"/>
      <c r="Q132" s="258"/>
      <c r="R132" s="258"/>
    </row>
    <row r="133" spans="1:18" s="297" customFormat="1" ht="14.15" customHeight="1" x14ac:dyDescent="0.3">
      <c r="A133" s="369"/>
      <c r="B133" s="413"/>
      <c r="C133" s="28"/>
      <c r="D133" s="1"/>
      <c r="E133" s="36"/>
      <c r="F133" s="41"/>
      <c r="G133" s="348"/>
      <c r="H133" s="348"/>
      <c r="I133" s="36"/>
      <c r="J133" s="36"/>
      <c r="K133" s="414"/>
      <c r="L133" s="350"/>
      <c r="M133" s="351"/>
      <c r="N133" s="258"/>
      <c r="O133" s="258"/>
      <c r="P133" s="258"/>
      <c r="Q133" s="258"/>
      <c r="R133" s="258"/>
    </row>
    <row r="134" spans="1:18" s="297" customFormat="1" ht="14.15" customHeight="1" x14ac:dyDescent="0.3">
      <c r="A134" s="404">
        <v>2.19</v>
      </c>
      <c r="B134" s="409" t="s">
        <v>213</v>
      </c>
      <c r="C134" s="96"/>
      <c r="D134" s="1"/>
      <c r="E134" s="36"/>
      <c r="F134" s="41"/>
      <c r="G134" s="348"/>
      <c r="H134" s="348"/>
      <c r="I134" s="36"/>
      <c r="J134" s="36"/>
      <c r="K134" s="415">
        <f>H134*D134</f>
        <v>0</v>
      </c>
      <c r="L134" s="350"/>
      <c r="M134" s="351"/>
      <c r="N134" s="258"/>
      <c r="O134" s="258"/>
      <c r="P134" s="258"/>
      <c r="Q134" s="258"/>
      <c r="R134" s="258"/>
    </row>
    <row r="135" spans="1:18" s="297" customFormat="1" ht="14.15" customHeight="1" x14ac:dyDescent="0.3">
      <c r="A135" s="404" t="s">
        <v>214</v>
      </c>
      <c r="B135" s="373" t="s">
        <v>215</v>
      </c>
      <c r="C135" s="96" t="s">
        <v>42</v>
      </c>
      <c r="D135" s="1">
        <v>1</v>
      </c>
      <c r="E135" s="36">
        <v>25000</v>
      </c>
      <c r="F135" s="41">
        <v>0</v>
      </c>
      <c r="G135" s="348">
        <f>E135/(1-F135)</f>
        <v>25000</v>
      </c>
      <c r="H135" s="348">
        <v>0</v>
      </c>
      <c r="I135" s="36"/>
      <c r="J135" s="36"/>
      <c r="K135" s="415">
        <f>H135*D135</f>
        <v>0</v>
      </c>
      <c r="L135" s="350">
        <f>G135+H135</f>
        <v>25000</v>
      </c>
      <c r="M135" s="351">
        <f>D135*L135</f>
        <v>25000</v>
      </c>
      <c r="N135" s="258"/>
      <c r="O135" s="258"/>
      <c r="P135" s="258"/>
      <c r="Q135" s="258"/>
      <c r="R135" s="258"/>
    </row>
    <row r="136" spans="1:18" s="297" customFormat="1" ht="14.15" customHeight="1" x14ac:dyDescent="0.3">
      <c r="A136" s="404"/>
      <c r="B136" s="409"/>
      <c r="C136" s="96"/>
      <c r="D136" s="1"/>
      <c r="E136" s="36"/>
      <c r="F136" s="41"/>
      <c r="G136" s="348"/>
      <c r="H136" s="348"/>
      <c r="I136" s="36"/>
      <c r="J136" s="36"/>
      <c r="K136" s="415"/>
      <c r="L136" s="350"/>
      <c r="M136" s="351"/>
      <c r="N136" s="258"/>
      <c r="O136" s="258"/>
      <c r="P136" s="258"/>
      <c r="Q136" s="258"/>
      <c r="R136" s="258"/>
    </row>
    <row r="137" spans="1:18" s="297" customFormat="1" ht="14.15" customHeight="1" x14ac:dyDescent="0.3">
      <c r="A137" s="416">
        <v>2.2000000000000002</v>
      </c>
      <c r="B137" s="409" t="s">
        <v>216</v>
      </c>
      <c r="C137" s="96"/>
      <c r="D137" s="1"/>
      <c r="E137" s="36"/>
      <c r="F137" s="41"/>
      <c r="G137" s="348"/>
      <c r="H137" s="348"/>
      <c r="I137" s="36"/>
      <c r="J137" s="36"/>
      <c r="K137" s="415">
        <f>H137*D137</f>
        <v>0</v>
      </c>
      <c r="L137" s="350"/>
      <c r="M137" s="351"/>
      <c r="N137" s="258"/>
      <c r="O137" s="258"/>
      <c r="P137" s="258"/>
      <c r="Q137" s="258"/>
      <c r="R137" s="258"/>
    </row>
    <row r="138" spans="1:18" s="297" customFormat="1" ht="14.15" customHeight="1" x14ac:dyDescent="0.3">
      <c r="A138" s="404" t="s">
        <v>217</v>
      </c>
      <c r="B138" s="373" t="s">
        <v>218</v>
      </c>
      <c r="C138" s="96" t="s">
        <v>42</v>
      </c>
      <c r="D138" s="1">
        <v>1</v>
      </c>
      <c r="E138" s="36">
        <f>15000</f>
        <v>15000</v>
      </c>
      <c r="F138" s="41">
        <v>0</v>
      </c>
      <c r="G138" s="348">
        <f>E138/(1-F138)</f>
        <v>15000</v>
      </c>
      <c r="H138" s="348">
        <v>0</v>
      </c>
      <c r="I138" s="36"/>
      <c r="J138" s="36"/>
      <c r="K138" s="415">
        <f>H138*D138</f>
        <v>0</v>
      </c>
      <c r="L138" s="350">
        <f>G138+H138</f>
        <v>15000</v>
      </c>
      <c r="M138" s="351">
        <f>D138*L138</f>
        <v>15000</v>
      </c>
      <c r="N138" s="258"/>
      <c r="O138" s="258"/>
      <c r="P138" s="258"/>
      <c r="Q138" s="258"/>
      <c r="R138" s="258"/>
    </row>
    <row r="139" spans="1:18" s="297" customFormat="1" ht="14.15" customHeight="1" x14ac:dyDescent="0.3">
      <c r="A139" s="404"/>
      <c r="B139" s="409"/>
      <c r="C139" s="96"/>
      <c r="D139" s="1"/>
      <c r="E139" s="36"/>
      <c r="F139" s="41"/>
      <c r="G139" s="348"/>
      <c r="H139" s="348"/>
      <c r="I139" s="36"/>
      <c r="J139" s="36"/>
      <c r="K139" s="415"/>
      <c r="L139" s="350"/>
      <c r="M139" s="351"/>
      <c r="N139" s="258"/>
      <c r="O139" s="258"/>
      <c r="P139" s="258"/>
      <c r="Q139" s="258"/>
      <c r="R139" s="258"/>
    </row>
    <row r="140" spans="1:18" s="297" customFormat="1" ht="14.15" customHeight="1" x14ac:dyDescent="0.3">
      <c r="A140" s="404">
        <v>2.21</v>
      </c>
      <c r="B140" s="409" t="s">
        <v>219</v>
      </c>
      <c r="C140" s="96"/>
      <c r="D140" s="1"/>
      <c r="E140" s="36"/>
      <c r="F140" s="41"/>
      <c r="G140" s="348"/>
      <c r="H140" s="348"/>
      <c r="I140" s="36"/>
      <c r="J140" s="36"/>
      <c r="K140" s="415">
        <f>H140*D140</f>
        <v>0</v>
      </c>
      <c r="L140" s="350"/>
      <c r="M140" s="351"/>
      <c r="N140" s="258"/>
      <c r="O140" s="258"/>
      <c r="P140" s="258"/>
      <c r="Q140" s="258"/>
      <c r="R140" s="258"/>
    </row>
    <row r="141" spans="1:18" ht="14.15" customHeight="1" x14ac:dyDescent="0.3">
      <c r="A141" s="404" t="s">
        <v>220</v>
      </c>
      <c r="B141" s="373" t="s">
        <v>221</v>
      </c>
      <c r="C141" s="96" t="s">
        <v>42</v>
      </c>
      <c r="D141" s="1">
        <v>1</v>
      </c>
      <c r="E141" s="36">
        <f>5000</f>
        <v>5000</v>
      </c>
      <c r="F141" s="41">
        <v>0</v>
      </c>
      <c r="G141" s="348">
        <f>E141/(1-F141)</f>
        <v>5000</v>
      </c>
      <c r="H141" s="348">
        <v>0</v>
      </c>
      <c r="I141" s="36"/>
      <c r="J141" s="36"/>
      <c r="K141" s="415">
        <f>H141*D141</f>
        <v>0</v>
      </c>
      <c r="L141" s="350">
        <f>G141+H141</f>
        <v>5000</v>
      </c>
      <c r="M141" s="351">
        <f>D141*L141</f>
        <v>5000</v>
      </c>
      <c r="N141" s="258"/>
      <c r="O141" s="258"/>
      <c r="P141" s="258"/>
      <c r="Q141" s="258"/>
      <c r="R141" s="258"/>
    </row>
    <row r="142" spans="1:18" ht="14.15" customHeight="1" x14ac:dyDescent="0.3">
      <c r="A142" s="404" t="s">
        <v>222</v>
      </c>
      <c r="B142" s="373" t="s">
        <v>223</v>
      </c>
      <c r="C142" s="96" t="s">
        <v>42</v>
      </c>
      <c r="D142" s="1">
        <v>1</v>
      </c>
      <c r="E142" s="36">
        <f>50000</f>
        <v>50000</v>
      </c>
      <c r="F142" s="41">
        <v>0</v>
      </c>
      <c r="G142" s="348">
        <f>E142/(1-F142)</f>
        <v>50000</v>
      </c>
      <c r="H142" s="348">
        <v>0</v>
      </c>
      <c r="I142" s="36"/>
      <c r="J142" s="36"/>
      <c r="K142" s="415">
        <f>H142*D142</f>
        <v>0</v>
      </c>
      <c r="L142" s="350">
        <f>G142+H142</f>
        <v>50000</v>
      </c>
      <c r="M142" s="351">
        <f>D142*L142</f>
        <v>50000</v>
      </c>
      <c r="N142" s="258"/>
      <c r="O142" s="258"/>
      <c r="P142" s="258"/>
      <c r="Q142" s="258"/>
      <c r="R142" s="258"/>
    </row>
    <row r="143" spans="1:18" ht="14.15" customHeight="1" x14ac:dyDescent="0.3">
      <c r="A143" s="404"/>
      <c r="B143" s="413"/>
      <c r="C143" s="28"/>
      <c r="D143" s="1"/>
      <c r="E143" s="36"/>
      <c r="F143" s="41"/>
      <c r="G143" s="348"/>
      <c r="H143" s="348"/>
      <c r="I143" s="36"/>
      <c r="J143" s="36"/>
      <c r="K143" s="415"/>
      <c r="L143" s="350"/>
      <c r="M143" s="351"/>
      <c r="N143" s="258"/>
      <c r="O143" s="258"/>
      <c r="P143" s="258"/>
      <c r="Q143" s="258"/>
      <c r="R143" s="258"/>
    </row>
    <row r="144" spans="1:18" ht="14.15" customHeight="1" x14ac:dyDescent="0.3">
      <c r="A144" s="404">
        <v>2.2200000000000002</v>
      </c>
      <c r="B144" s="409" t="s">
        <v>224</v>
      </c>
      <c r="C144" s="28"/>
      <c r="D144" s="1"/>
      <c r="E144" s="36"/>
      <c r="F144" s="41"/>
      <c r="G144" s="348"/>
      <c r="H144" s="348"/>
      <c r="I144" s="36"/>
      <c r="J144" s="36"/>
      <c r="K144" s="415">
        <f>H144*D144</f>
        <v>0</v>
      </c>
      <c r="L144" s="350"/>
      <c r="M144" s="351"/>
      <c r="N144" s="258"/>
      <c r="O144" s="258"/>
      <c r="P144" s="258"/>
      <c r="Q144" s="258"/>
      <c r="R144" s="258"/>
    </row>
    <row r="145" spans="1:18" ht="14.15" customHeight="1" x14ac:dyDescent="0.3">
      <c r="A145" s="404"/>
      <c r="B145" s="413"/>
      <c r="C145" s="28"/>
      <c r="D145" s="1"/>
      <c r="E145" s="36"/>
      <c r="F145" s="41"/>
      <c r="G145" s="348"/>
      <c r="H145" s="348"/>
      <c r="I145" s="36"/>
      <c r="J145" s="36"/>
      <c r="K145" s="415">
        <f>H145*D145</f>
        <v>0</v>
      </c>
      <c r="L145" s="350"/>
      <c r="M145" s="351"/>
      <c r="N145" s="258"/>
      <c r="O145" s="258"/>
      <c r="P145" s="258"/>
      <c r="Q145" s="258"/>
      <c r="R145" s="258"/>
    </row>
    <row r="146" spans="1:18" ht="42" customHeight="1" x14ac:dyDescent="0.3">
      <c r="A146" s="404" t="s">
        <v>225</v>
      </c>
      <c r="B146" s="373" t="s">
        <v>226</v>
      </c>
      <c r="C146" s="28" t="s">
        <v>42</v>
      </c>
      <c r="D146" s="1">
        <v>1</v>
      </c>
      <c r="E146" s="36">
        <f>5000*3</f>
        <v>15000</v>
      </c>
      <c r="F146" s="41">
        <v>0.2</v>
      </c>
      <c r="G146" s="348">
        <f>E146/(1-F146)</f>
        <v>18750</v>
      </c>
      <c r="H146" s="348">
        <v>1</v>
      </c>
      <c r="I146" s="36"/>
      <c r="J146" s="36"/>
      <c r="K146" s="415">
        <f>H146*D146</f>
        <v>1</v>
      </c>
      <c r="L146" s="350">
        <f>G146+H146</f>
        <v>18751</v>
      </c>
      <c r="M146" s="351">
        <f>D146*L146</f>
        <v>18751</v>
      </c>
      <c r="N146" s="258"/>
      <c r="O146" s="258"/>
      <c r="P146" s="258"/>
      <c r="Q146" s="258"/>
      <c r="R146" s="258"/>
    </row>
    <row r="147" spans="1:18" ht="14.5" customHeight="1" thickBot="1" x14ac:dyDescent="0.35">
      <c r="A147" s="404"/>
      <c r="B147" s="413"/>
      <c r="C147" s="28"/>
      <c r="D147" s="1"/>
      <c r="E147" s="36"/>
      <c r="F147" s="41"/>
      <c r="G147" s="348"/>
      <c r="H147" s="348"/>
      <c r="I147" s="36"/>
      <c r="J147" s="36"/>
      <c r="K147" s="417"/>
      <c r="L147" s="350"/>
      <c r="M147" s="418"/>
      <c r="N147" s="258"/>
      <c r="O147" s="258"/>
      <c r="P147" s="258"/>
      <c r="Q147" s="258"/>
      <c r="R147" s="258"/>
    </row>
    <row r="148" spans="1:18" ht="18.75" customHeight="1" thickTop="1" x14ac:dyDescent="0.3">
      <c r="A148" s="419"/>
      <c r="B148" s="420" t="s">
        <v>227</v>
      </c>
      <c r="C148" s="2"/>
      <c r="D148" s="2"/>
      <c r="E148" s="39"/>
      <c r="F148" s="42"/>
      <c r="G148" s="421"/>
      <c r="H148" s="421"/>
      <c r="I148" s="39"/>
      <c r="J148" s="39"/>
      <c r="K148" s="422">
        <f>SUM(K11:K146)</f>
        <v>150846.5</v>
      </c>
      <c r="L148" s="423"/>
      <c r="M148" s="424">
        <f>SUM(M11:M147)</f>
        <v>3789693.0344642862</v>
      </c>
      <c r="N148" s="258"/>
      <c r="O148" s="425"/>
      <c r="P148" s="258"/>
      <c r="Q148" s="258"/>
      <c r="R148" s="258"/>
    </row>
    <row r="149" spans="1:18" ht="16.5" customHeight="1" x14ac:dyDescent="0.3">
      <c r="A149" s="426"/>
      <c r="B149" s="427"/>
      <c r="C149" s="257"/>
      <c r="D149" s="47"/>
      <c r="E149" s="250"/>
      <c r="F149" s="48"/>
      <c r="G149" s="428"/>
      <c r="H149" s="428"/>
      <c r="I149" s="250"/>
      <c r="J149" s="250"/>
      <c r="K149" s="429"/>
      <c r="L149" s="430"/>
      <c r="M149" s="431"/>
      <c r="N149" s="258"/>
      <c r="O149" s="258"/>
      <c r="P149" s="258"/>
      <c r="Q149" s="258"/>
      <c r="R149" s="258"/>
    </row>
    <row r="150" spans="1:18" ht="18.75" customHeight="1" x14ac:dyDescent="0.3">
      <c r="A150" s="258"/>
      <c r="B150" s="387"/>
      <c r="C150" s="34"/>
      <c r="D150" s="249"/>
      <c r="E150" s="249"/>
      <c r="F150" s="249"/>
      <c r="G150" s="432"/>
      <c r="H150" s="432"/>
      <c r="I150" s="249"/>
      <c r="J150" s="249"/>
      <c r="K150" s="432"/>
      <c r="L150" s="433"/>
      <c r="M150" s="434"/>
      <c r="N150" s="433"/>
      <c r="O150" s="258"/>
      <c r="P150" s="258"/>
      <c r="Q150" s="258"/>
      <c r="R150" s="258"/>
    </row>
    <row r="151" spans="1:18" ht="18.75" customHeight="1" x14ac:dyDescent="0.25">
      <c r="A151" s="258"/>
      <c r="B151" s="258"/>
      <c r="G151" s="258"/>
      <c r="H151" s="258"/>
      <c r="K151" s="258"/>
      <c r="L151" s="258"/>
      <c r="M151" s="258"/>
      <c r="N151" s="258"/>
      <c r="O151" s="258"/>
      <c r="P151" s="258"/>
      <c r="Q151" s="258"/>
      <c r="R151" s="258"/>
    </row>
    <row r="152" spans="1:18" ht="18.75" customHeight="1" x14ac:dyDescent="0.25">
      <c r="A152" s="258"/>
      <c r="B152" s="258"/>
      <c r="G152" s="258"/>
      <c r="H152" s="258"/>
      <c r="K152" s="258"/>
      <c r="L152" s="258"/>
      <c r="M152" s="258"/>
      <c r="N152" s="258"/>
      <c r="O152" s="258"/>
      <c r="P152" s="258"/>
      <c r="Q152" s="258"/>
      <c r="R152" s="258"/>
    </row>
    <row r="153" spans="1:18" ht="18.75" customHeight="1" x14ac:dyDescent="0.25">
      <c r="A153" s="258"/>
      <c r="B153" s="258"/>
      <c r="G153" s="258"/>
      <c r="H153" s="258"/>
      <c r="K153" s="258"/>
      <c r="L153" s="258"/>
      <c r="M153" s="258"/>
      <c r="N153" s="258"/>
      <c r="O153" s="258"/>
      <c r="P153" s="258"/>
      <c r="Q153" s="258"/>
      <c r="R153" s="258"/>
    </row>
    <row r="154" spans="1:18" ht="18.75" customHeight="1" x14ac:dyDescent="0.25">
      <c r="A154" s="258"/>
      <c r="B154" s="258"/>
      <c r="G154" s="258"/>
      <c r="H154" s="258"/>
      <c r="K154" s="258"/>
      <c r="L154" s="258"/>
      <c r="M154" s="258"/>
      <c r="N154" s="258"/>
      <c r="O154" s="258"/>
      <c r="P154" s="258"/>
      <c r="Q154" s="258"/>
      <c r="R154" s="258"/>
    </row>
    <row r="155" spans="1:18" ht="18.75" customHeight="1" x14ac:dyDescent="0.25">
      <c r="A155" s="258"/>
      <c r="B155" s="258"/>
      <c r="G155" s="258"/>
      <c r="H155" s="258"/>
      <c r="K155" s="258"/>
      <c r="L155" s="258"/>
      <c r="M155" s="258"/>
      <c r="N155" s="258"/>
      <c r="O155" s="258"/>
      <c r="P155" s="258"/>
      <c r="Q155" s="258"/>
      <c r="R155" s="258"/>
    </row>
    <row r="156" spans="1:18" ht="18.75" customHeight="1" x14ac:dyDescent="0.25">
      <c r="A156" s="258"/>
      <c r="B156" s="258"/>
      <c r="G156" s="258"/>
      <c r="H156" s="258"/>
      <c r="K156" s="258"/>
      <c r="L156" s="258"/>
      <c r="M156" s="258"/>
      <c r="N156" s="258"/>
      <c r="O156" s="258"/>
      <c r="P156" s="258"/>
      <c r="Q156" s="258"/>
      <c r="R156" s="258"/>
    </row>
    <row r="157" spans="1:18" ht="18.75" customHeight="1" x14ac:dyDescent="0.25">
      <c r="A157" s="258"/>
      <c r="B157" s="258"/>
      <c r="G157" s="258"/>
      <c r="H157" s="258"/>
      <c r="K157" s="258"/>
      <c r="L157" s="258"/>
      <c r="M157" s="258"/>
      <c r="N157" s="258"/>
      <c r="O157" s="258"/>
      <c r="P157" s="258"/>
      <c r="Q157" s="258"/>
      <c r="R157" s="258"/>
    </row>
    <row r="158" spans="1:18" ht="18.75" customHeight="1" x14ac:dyDescent="0.25">
      <c r="A158" s="258"/>
      <c r="B158" s="258"/>
      <c r="G158" s="258"/>
      <c r="H158" s="258"/>
      <c r="K158" s="258"/>
      <c r="L158" s="258"/>
      <c r="M158" s="258"/>
      <c r="N158" s="258"/>
      <c r="O158" s="258"/>
      <c r="P158" s="258"/>
      <c r="Q158" s="258"/>
      <c r="R158" s="258"/>
    </row>
    <row r="159" spans="1:18" ht="18.75" customHeight="1" x14ac:dyDescent="0.25">
      <c r="A159" s="258"/>
      <c r="B159" s="258"/>
      <c r="G159" s="258"/>
      <c r="H159" s="258"/>
      <c r="K159" s="258"/>
      <c r="L159" s="258"/>
      <c r="M159" s="258"/>
      <c r="N159" s="258"/>
      <c r="O159" s="258"/>
      <c r="P159" s="258"/>
      <c r="Q159" s="258"/>
      <c r="R159" s="258"/>
    </row>
    <row r="160" spans="1:18" s="8" customFormat="1" ht="18.75" customHeight="1" x14ac:dyDescent="0.25">
      <c r="A160" s="258"/>
      <c r="B160" s="435"/>
      <c r="C160" s="35"/>
      <c r="G160" s="258"/>
      <c r="H160" s="258"/>
      <c r="K160" s="258"/>
      <c r="L160" s="436"/>
      <c r="M160" s="437"/>
      <c r="N160" s="436"/>
      <c r="O160" s="438"/>
      <c r="P160" s="258"/>
      <c r="Q160" s="258"/>
      <c r="R160" s="258"/>
    </row>
    <row r="161" spans="1:18" s="8" customFormat="1" ht="18.75" customHeight="1" x14ac:dyDescent="0.25">
      <c r="A161" s="258"/>
      <c r="B161" s="435"/>
      <c r="C161" s="35"/>
      <c r="G161" s="258"/>
      <c r="H161" s="258"/>
      <c r="K161" s="258"/>
      <c r="L161" s="436"/>
      <c r="M161" s="437"/>
      <c r="N161" s="436"/>
      <c r="O161" s="438"/>
      <c r="P161" s="258"/>
      <c r="Q161" s="258"/>
      <c r="R161" s="258"/>
    </row>
    <row r="162" spans="1:18" s="8" customFormat="1" ht="18.75" customHeight="1" x14ac:dyDescent="0.25">
      <c r="A162" s="258"/>
      <c r="B162" s="435"/>
      <c r="C162" s="35"/>
      <c r="G162" s="258"/>
      <c r="H162" s="258"/>
      <c r="K162" s="258"/>
      <c r="L162" s="436"/>
      <c r="M162" s="437"/>
      <c r="N162" s="436"/>
      <c r="O162" s="438"/>
      <c r="P162" s="258"/>
      <c r="Q162" s="258"/>
      <c r="R162" s="258"/>
    </row>
    <row r="163" spans="1:18" s="8" customFormat="1" ht="18.75" customHeight="1" x14ac:dyDescent="0.25">
      <c r="A163" s="258"/>
      <c r="B163" s="435"/>
      <c r="C163" s="35"/>
      <c r="G163" s="258"/>
      <c r="H163" s="258"/>
      <c r="K163" s="258"/>
      <c r="L163" s="436"/>
      <c r="M163" s="437"/>
      <c r="N163" s="436"/>
      <c r="O163" s="438"/>
      <c r="P163" s="258"/>
      <c r="Q163" s="258"/>
      <c r="R163" s="258"/>
    </row>
    <row r="164" spans="1:18" s="8" customFormat="1" ht="18.75" customHeight="1" x14ac:dyDescent="0.25">
      <c r="A164" s="258"/>
      <c r="B164" s="435"/>
      <c r="C164" s="35"/>
      <c r="G164" s="258"/>
      <c r="H164" s="258"/>
      <c r="K164" s="258"/>
      <c r="L164" s="436"/>
      <c r="M164" s="437"/>
      <c r="N164" s="436"/>
      <c r="O164" s="438"/>
      <c r="P164" s="258"/>
      <c r="Q164" s="258"/>
      <c r="R164" s="258"/>
    </row>
    <row r="165" spans="1:18" s="8" customFormat="1" ht="18.75" customHeight="1" x14ac:dyDescent="0.25">
      <c r="A165" s="258"/>
      <c r="B165" s="435"/>
      <c r="C165" s="35"/>
      <c r="G165" s="258"/>
      <c r="H165" s="258"/>
      <c r="K165" s="258"/>
      <c r="L165" s="436"/>
      <c r="M165" s="437"/>
      <c r="N165" s="436"/>
      <c r="O165" s="438"/>
      <c r="P165" s="258"/>
      <c r="Q165" s="258"/>
      <c r="R165" s="258"/>
    </row>
    <row r="166" spans="1:18" s="8" customFormat="1" ht="18.75" customHeight="1" x14ac:dyDescent="0.25">
      <c r="A166" s="258"/>
      <c r="B166" s="435"/>
      <c r="C166" s="35"/>
      <c r="G166" s="258"/>
      <c r="H166" s="258"/>
      <c r="K166" s="258"/>
      <c r="L166" s="436"/>
      <c r="M166" s="437"/>
      <c r="N166" s="436"/>
      <c r="O166" s="438"/>
      <c r="P166" s="258"/>
      <c r="Q166" s="258"/>
      <c r="R166" s="258"/>
    </row>
  </sheetData>
  <sheetProtection password="CEF9" sheet="1"/>
  <mergeCells count="2">
    <mergeCell ref="A2:Q2"/>
    <mergeCell ref="A1:R1"/>
  </mergeCells>
  <pageMargins left="0.45" right="0.45" top="0.5" bottom="0.5" header="0.3" footer="0.3"/>
  <pageSetup paperSize="9" scale="29" orientation="portrait"/>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4" max="13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66"/>
  <sheetViews>
    <sheetView zoomScale="85" zoomScaleNormal="85" zoomScaleSheetLayoutView="70" workbookViewId="0">
      <pane ySplit="5" topLeftCell="A18" activePane="bottomLeft" state="frozen"/>
      <selection activeCell="D115" sqref="D115"/>
      <selection pane="bottomLeft" activeCell="D37" sqref="D37"/>
    </sheetView>
  </sheetViews>
  <sheetFormatPr defaultColWidth="8.54296875" defaultRowHeight="12.5" x14ac:dyDescent="0.25"/>
  <cols>
    <col min="1" max="1" width="16.453125" style="8" customWidth="1"/>
    <col min="2" max="2" width="70.5429687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1" width="13.81640625" style="8" customWidth="1"/>
    <col min="12" max="12" width="13.54296875" style="295" bestFit="1" customWidth="1"/>
    <col min="13" max="13" width="16.81640625" style="296" bestFit="1" customWidth="1"/>
    <col min="14" max="14" width="15.54296875" style="295" customWidth="1"/>
    <col min="15" max="15" width="16" style="297" bestFit="1" customWidth="1"/>
    <col min="16" max="16" width="22.81640625" bestFit="1" customWidth="1"/>
    <col min="17" max="17" width="14.54296875" customWidth="1"/>
  </cols>
  <sheetData>
    <row r="1" spans="1:18" ht="15.65" customHeight="1" x14ac:dyDescent="0.35">
      <c r="A1" s="606" t="s">
        <v>0</v>
      </c>
      <c r="B1" s="560"/>
      <c r="C1" s="559"/>
      <c r="D1" s="586"/>
      <c r="E1" s="586"/>
      <c r="F1" s="586"/>
      <c r="G1" s="560"/>
      <c r="H1" s="560"/>
      <c r="I1" s="586"/>
      <c r="J1" s="586"/>
      <c r="K1" s="560"/>
      <c r="L1" s="560"/>
      <c r="M1" s="560"/>
      <c r="N1" s="560"/>
      <c r="O1" s="560"/>
      <c r="P1" s="560"/>
      <c r="Q1" s="560"/>
      <c r="R1" s="560"/>
    </row>
    <row r="2" spans="1:18" ht="15.65" customHeight="1" x14ac:dyDescent="0.35">
      <c r="A2" s="605" t="str">
        <f>'[1]SECTION 1-P&amp;G'!A2:K2</f>
        <v>MUT - Alternative Energy supply</v>
      </c>
      <c r="B2" s="560"/>
      <c r="C2" s="559"/>
      <c r="D2" s="586"/>
      <c r="E2" s="586"/>
      <c r="F2" s="586"/>
      <c r="G2" s="560"/>
      <c r="H2" s="560"/>
      <c r="I2" s="586"/>
      <c r="J2" s="586"/>
      <c r="K2" s="560"/>
      <c r="L2" s="560"/>
      <c r="M2" s="560"/>
      <c r="N2" s="560"/>
      <c r="O2" s="560"/>
      <c r="P2" s="560"/>
      <c r="Q2" s="560"/>
      <c r="R2" s="299"/>
    </row>
    <row r="3" spans="1:18" ht="16" customHeight="1" thickBot="1" x14ac:dyDescent="0.4">
      <c r="A3" s="300" t="s">
        <v>60</v>
      </c>
      <c r="B3" s="301"/>
      <c r="C3" s="31"/>
      <c r="D3" s="4"/>
      <c r="E3" s="4"/>
      <c r="F3" s="4"/>
      <c r="G3" s="302"/>
      <c r="H3" s="302"/>
      <c r="I3" s="4"/>
      <c r="J3" s="4"/>
      <c r="K3" s="302"/>
      <c r="L3" s="303"/>
      <c r="M3" s="304"/>
      <c r="N3" s="303"/>
      <c r="O3" s="305"/>
      <c r="P3" s="299"/>
      <c r="Q3" s="299"/>
      <c r="R3" s="299"/>
    </row>
    <row r="4" spans="1:18"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310"/>
      <c r="O4" s="258"/>
      <c r="P4" s="258"/>
      <c r="Q4" s="258"/>
      <c r="R4" s="258"/>
    </row>
    <row r="5" spans="1:18" ht="71.5" customHeight="1" thickTop="1" x14ac:dyDescent="0.3">
      <c r="A5" s="311" t="s">
        <v>34</v>
      </c>
      <c r="B5" s="312" t="s">
        <v>4</v>
      </c>
      <c r="C5" s="33" t="s">
        <v>35</v>
      </c>
      <c r="D5" s="33" t="s">
        <v>36</v>
      </c>
      <c r="E5" s="82" t="s">
        <v>72</v>
      </c>
      <c r="F5" s="82" t="s">
        <v>73</v>
      </c>
      <c r="G5" s="313" t="s">
        <v>74</v>
      </c>
      <c r="H5" s="314" t="s">
        <v>75</v>
      </c>
      <c r="I5" s="82" t="s">
        <v>73</v>
      </c>
      <c r="J5" s="315" t="s">
        <v>76</v>
      </c>
      <c r="K5" s="316" t="s">
        <v>77</v>
      </c>
      <c r="L5" s="317" t="s">
        <v>78</v>
      </c>
      <c r="M5" s="316" t="s">
        <v>79</v>
      </c>
      <c r="N5" s="258"/>
      <c r="O5" s="318"/>
      <c r="P5" s="319"/>
      <c r="Q5" s="258"/>
      <c r="R5" s="258"/>
    </row>
    <row r="6" spans="1:18" ht="16.5" customHeight="1" thickBot="1" x14ac:dyDescent="0.35">
      <c r="A6" s="320"/>
      <c r="B6" s="321"/>
      <c r="C6" s="256"/>
      <c r="D6" s="6"/>
      <c r="E6" s="247"/>
      <c r="F6" s="247"/>
      <c r="G6" s="322"/>
      <c r="H6" s="322"/>
      <c r="I6" s="247"/>
      <c r="J6" s="247"/>
      <c r="K6" s="322"/>
      <c r="L6" s="323"/>
      <c r="M6" s="324"/>
      <c r="N6" s="325"/>
      <c r="O6" s="318"/>
      <c r="P6" s="319"/>
      <c r="Q6" s="258"/>
      <c r="R6" s="258"/>
    </row>
    <row r="7" spans="1:18" ht="32.15" customHeight="1" x14ac:dyDescent="0.3">
      <c r="A7" s="326">
        <v>2</v>
      </c>
      <c r="B7" s="327"/>
      <c r="C7" s="59"/>
      <c r="D7" s="60" t="s">
        <v>80</v>
      </c>
      <c r="E7" s="60"/>
      <c r="F7" s="60"/>
      <c r="G7" s="328"/>
      <c r="H7" s="328"/>
      <c r="I7" s="60"/>
      <c r="J7" s="60"/>
      <c r="K7" s="328"/>
      <c r="L7" s="329"/>
      <c r="M7" s="329"/>
      <c r="N7" s="330"/>
      <c r="O7" s="258"/>
      <c r="P7" s="258"/>
      <c r="Q7" s="258"/>
      <c r="R7" s="258"/>
    </row>
    <row r="8" spans="1:18" ht="16.5" customHeight="1" thickBot="1" x14ac:dyDescent="0.35">
      <c r="A8" s="331"/>
      <c r="B8" s="332"/>
      <c r="C8" s="63"/>
      <c r="D8" s="64"/>
      <c r="E8" s="64"/>
      <c r="F8" s="64"/>
      <c r="G8" s="333"/>
      <c r="H8" s="333"/>
      <c r="I8" s="64"/>
      <c r="J8" s="64"/>
      <c r="K8" s="333"/>
      <c r="L8" s="334"/>
      <c r="M8" s="334"/>
      <c r="N8" s="335"/>
      <c r="O8" s="258"/>
      <c r="P8" s="258"/>
      <c r="Q8" s="258"/>
      <c r="R8" s="258"/>
    </row>
    <row r="9" spans="1:18" ht="16.5" customHeight="1" x14ac:dyDescent="0.3">
      <c r="A9" s="336" t="s">
        <v>81</v>
      </c>
      <c r="B9" s="337"/>
      <c r="C9" s="252"/>
      <c r="D9" s="61" t="s">
        <v>82</v>
      </c>
      <c r="E9" s="62"/>
      <c r="F9" s="62"/>
      <c r="G9" s="338"/>
      <c r="H9" s="338"/>
      <c r="I9" s="62"/>
      <c r="J9" s="62"/>
      <c r="K9" s="338"/>
      <c r="L9" s="339"/>
      <c r="M9" s="339"/>
      <c r="N9" s="340"/>
      <c r="O9" s="258"/>
      <c r="P9" s="258"/>
      <c r="Q9" s="258"/>
      <c r="R9" s="258"/>
    </row>
    <row r="10" spans="1:18" ht="16.5" customHeight="1" x14ac:dyDescent="0.3">
      <c r="A10" s="341"/>
      <c r="B10" s="342"/>
      <c r="C10" s="30"/>
      <c r="D10" s="1"/>
      <c r="E10" s="248"/>
      <c r="F10" s="248"/>
      <c r="G10" s="343"/>
      <c r="H10" s="343"/>
      <c r="I10" s="249"/>
      <c r="J10" s="249"/>
      <c r="K10" s="344"/>
      <c r="L10" s="345"/>
      <c r="M10" s="346"/>
      <c r="N10" s="258"/>
      <c r="O10" s="318"/>
      <c r="P10" s="258"/>
      <c r="Q10" s="258"/>
      <c r="R10" s="258"/>
    </row>
    <row r="11" spans="1:18" ht="42.65" customHeight="1" thickBot="1" x14ac:dyDescent="0.35">
      <c r="A11" s="341" t="s">
        <v>83</v>
      </c>
      <c r="B11" s="347" t="s">
        <v>84</v>
      </c>
      <c r="C11" s="248" t="s">
        <v>85</v>
      </c>
      <c r="D11" s="1">
        <v>1</v>
      </c>
      <c r="E11" s="36">
        <f>1623.93</f>
        <v>1623.93</v>
      </c>
      <c r="F11" s="41">
        <v>0.25</v>
      </c>
      <c r="G11" s="348">
        <f>E11/(1-F11)</f>
        <v>2165.2400000000002</v>
      </c>
      <c r="H11" s="348">
        <v>350</v>
      </c>
      <c r="I11" s="83">
        <v>0.15</v>
      </c>
      <c r="J11" s="79">
        <f>H11*(1+I11)</f>
        <v>402.49999999999994</v>
      </c>
      <c r="K11" s="349">
        <f>J11*D11</f>
        <v>402.49999999999994</v>
      </c>
      <c r="L11" s="350">
        <f>G11+J11</f>
        <v>2567.7400000000002</v>
      </c>
      <c r="M11" s="351">
        <f>D11*L11</f>
        <v>2567.7400000000002</v>
      </c>
      <c r="N11" s="258"/>
      <c r="O11" s="352"/>
      <c r="P11" s="353"/>
      <c r="Q11" s="258"/>
      <c r="R11" s="258"/>
    </row>
    <row r="12" spans="1:18" ht="14.5" customHeight="1" thickBot="1" x14ac:dyDescent="0.35">
      <c r="A12" s="354"/>
      <c r="B12" s="355"/>
      <c r="C12" s="97"/>
      <c r="D12" s="72"/>
      <c r="E12" s="73"/>
      <c r="F12" s="74"/>
      <c r="G12" s="356"/>
      <c r="H12" s="356"/>
      <c r="I12" s="73"/>
      <c r="J12" s="73"/>
      <c r="K12" s="357"/>
      <c r="L12" s="358"/>
      <c r="M12" s="358"/>
      <c r="N12" s="258"/>
      <c r="O12" s="258"/>
      <c r="P12" s="258"/>
      <c r="Q12" s="258"/>
      <c r="R12" s="258"/>
    </row>
    <row r="13" spans="1:18" ht="14.15" customHeight="1" x14ac:dyDescent="0.3">
      <c r="A13" s="359" t="s">
        <v>86</v>
      </c>
      <c r="B13" s="360"/>
      <c r="C13" s="255"/>
      <c r="D13" s="58" t="s">
        <v>87</v>
      </c>
      <c r="E13" s="56"/>
      <c r="F13" s="57"/>
      <c r="G13" s="361"/>
      <c r="H13" s="361"/>
      <c r="I13" s="56"/>
      <c r="J13" s="56"/>
      <c r="K13" s="362"/>
      <c r="L13" s="363"/>
      <c r="M13" s="363"/>
      <c r="N13" s="258"/>
      <c r="O13" s="364"/>
      <c r="P13" s="258"/>
      <c r="Q13" s="258"/>
      <c r="R13" s="258"/>
    </row>
    <row r="14" spans="1:18" ht="28.5" customHeight="1" thickBot="1" x14ac:dyDescent="0.35">
      <c r="A14" s="341" t="s">
        <v>88</v>
      </c>
      <c r="B14" s="365" t="s">
        <v>89</v>
      </c>
      <c r="C14" s="248" t="s">
        <v>90</v>
      </c>
      <c r="D14" s="1">
        <v>2</v>
      </c>
      <c r="E14" s="36">
        <v>87286.19</v>
      </c>
      <c r="F14" s="41">
        <v>0.2</v>
      </c>
      <c r="G14" s="348">
        <f>E14/(1-F14)</f>
        <v>109107.7375</v>
      </c>
      <c r="H14" s="348">
        <f>(550*8)+3600</f>
        <v>8000</v>
      </c>
      <c r="I14" s="83">
        <v>0.15</v>
      </c>
      <c r="J14" s="79">
        <f>H14*(1+I14)</f>
        <v>9200</v>
      </c>
      <c r="K14" s="349">
        <f>J14*D14</f>
        <v>18400</v>
      </c>
      <c r="L14" s="350">
        <f>G14+J14</f>
        <v>118307.7375</v>
      </c>
      <c r="M14" s="351">
        <f>D14*L14</f>
        <v>236615.47500000001</v>
      </c>
      <c r="N14" s="258"/>
      <c r="O14" s="366"/>
      <c r="P14" s="258"/>
      <c r="Q14" s="258"/>
      <c r="R14" s="258"/>
    </row>
    <row r="15" spans="1:18" ht="14.5" customHeight="1" thickBot="1" x14ac:dyDescent="0.35">
      <c r="A15" s="354"/>
      <c r="B15" s="355"/>
      <c r="C15" s="97"/>
      <c r="D15" s="72"/>
      <c r="E15" s="73"/>
      <c r="F15" s="74"/>
      <c r="G15" s="356"/>
      <c r="H15" s="356"/>
      <c r="I15" s="73"/>
      <c r="J15" s="73"/>
      <c r="K15" s="357"/>
      <c r="L15" s="358"/>
      <c r="M15" s="358"/>
      <c r="N15" s="258"/>
      <c r="O15" s="258"/>
      <c r="P15" s="258"/>
      <c r="Q15" s="258"/>
      <c r="R15" s="258"/>
    </row>
    <row r="16" spans="1:18" ht="14.15" customHeight="1" x14ac:dyDescent="0.3">
      <c r="A16" s="359">
        <v>2.2999999999999998</v>
      </c>
      <c r="B16" s="367"/>
      <c r="C16" s="255"/>
      <c r="D16" s="58" t="s">
        <v>91</v>
      </c>
      <c r="E16" s="56"/>
      <c r="F16" s="57"/>
      <c r="G16" s="361"/>
      <c r="H16" s="361"/>
      <c r="I16" s="56"/>
      <c r="J16" s="56"/>
      <c r="K16" s="362"/>
      <c r="L16" s="363"/>
      <c r="M16" s="363"/>
      <c r="N16" s="258"/>
      <c r="O16" s="318"/>
      <c r="P16" s="258"/>
      <c r="Q16" s="258"/>
      <c r="R16" s="258"/>
    </row>
    <row r="17" spans="1:18" ht="14.15" customHeight="1" x14ac:dyDescent="0.3">
      <c r="A17" s="341" t="s">
        <v>92</v>
      </c>
      <c r="B17" s="368" t="s">
        <v>93</v>
      </c>
      <c r="C17" s="248" t="s">
        <v>90</v>
      </c>
      <c r="D17" s="1">
        <v>1</v>
      </c>
      <c r="E17" s="36">
        <v>20000</v>
      </c>
      <c r="F17" s="41">
        <v>0.2</v>
      </c>
      <c r="G17" s="348">
        <f>E17/(1-F17)</f>
        <v>25000</v>
      </c>
      <c r="H17" s="348">
        <f>(550*4)+3500</f>
        <v>5700</v>
      </c>
      <c r="I17" s="83">
        <v>0.15</v>
      </c>
      <c r="J17" s="79">
        <f>H17*(1+I17)</f>
        <v>6554.9999999999991</v>
      </c>
      <c r="K17" s="349">
        <f>J17*D17</f>
        <v>6554.9999999999991</v>
      </c>
      <c r="L17" s="350">
        <f>G17+J17</f>
        <v>31555</v>
      </c>
      <c r="M17" s="351">
        <f>D17*L17</f>
        <v>31555</v>
      </c>
      <c r="N17" s="258"/>
      <c r="O17" s="369"/>
      <c r="P17" s="258"/>
      <c r="Q17" s="258"/>
      <c r="R17" s="258"/>
    </row>
    <row r="18" spans="1:18" ht="28.5" customHeight="1" thickBot="1" x14ac:dyDescent="0.35">
      <c r="A18" s="341" t="s">
        <v>94</v>
      </c>
      <c r="B18" s="368" t="s">
        <v>95</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258"/>
      <c r="O18" s="369"/>
      <c r="P18" s="258"/>
      <c r="Q18" s="258"/>
      <c r="R18" s="258"/>
    </row>
    <row r="19" spans="1:18" ht="14.15" customHeight="1" x14ac:dyDescent="0.3">
      <c r="A19" s="359">
        <v>2.4</v>
      </c>
      <c r="B19" s="360"/>
      <c r="C19" s="255"/>
      <c r="D19" s="58" t="s">
        <v>96</v>
      </c>
      <c r="E19" s="56"/>
      <c r="F19" s="57"/>
      <c r="G19" s="361"/>
      <c r="H19" s="361"/>
      <c r="I19" s="56"/>
      <c r="J19" s="56"/>
      <c r="K19" s="362"/>
      <c r="L19" s="363"/>
      <c r="M19" s="363"/>
      <c r="N19" s="258"/>
      <c r="O19" s="258"/>
      <c r="P19" s="258"/>
      <c r="Q19" s="258"/>
      <c r="R19" s="258"/>
    </row>
    <row r="20" spans="1:18" ht="28" customHeight="1" x14ac:dyDescent="0.3">
      <c r="A20" s="370" t="s">
        <v>97</v>
      </c>
      <c r="B20" s="365" t="s">
        <v>98</v>
      </c>
      <c r="C20" s="7" t="s">
        <v>42</v>
      </c>
      <c r="D20" s="7">
        <v>2</v>
      </c>
      <c r="E20" s="37">
        <f>906452.58*1.2</f>
        <v>1087743.0959999999</v>
      </c>
      <c r="F20" s="41">
        <v>0.2</v>
      </c>
      <c r="G20" s="348">
        <f>E20/(1-F20)</f>
        <v>1359678.8699999999</v>
      </c>
      <c r="H20" s="371">
        <f>(550*8)+3600</f>
        <v>8000</v>
      </c>
      <c r="I20" s="83">
        <v>0.15</v>
      </c>
      <c r="J20" s="79">
        <f>H20*(1+I20)</f>
        <v>9200</v>
      </c>
      <c r="K20" s="349">
        <f>J20*D20</f>
        <v>18400</v>
      </c>
      <c r="L20" s="350">
        <f>G20+J20</f>
        <v>1368878.8699999999</v>
      </c>
      <c r="M20" s="351">
        <f>D20*L20</f>
        <v>2737757.7399999998</v>
      </c>
      <c r="N20" s="258"/>
      <c r="O20" s="372"/>
      <c r="P20" s="353"/>
      <c r="Q20" s="258"/>
      <c r="R20" s="258"/>
    </row>
    <row r="21" spans="1:18" ht="14.15" customHeight="1" x14ac:dyDescent="0.3">
      <c r="A21" s="370"/>
      <c r="B21" s="373"/>
      <c r="C21" s="7"/>
      <c r="D21" s="7"/>
      <c r="E21" s="37"/>
      <c r="F21" s="41"/>
      <c r="G21" s="348"/>
      <c r="H21" s="371"/>
      <c r="I21" s="66"/>
      <c r="J21" s="66"/>
      <c r="K21" s="349"/>
      <c r="L21" s="350"/>
      <c r="M21" s="351"/>
      <c r="N21" s="258"/>
      <c r="O21" s="258"/>
      <c r="P21" s="353"/>
      <c r="Q21" s="258"/>
      <c r="R21" s="258"/>
    </row>
    <row r="22" spans="1:18" ht="14.15" customHeight="1" x14ac:dyDescent="0.3">
      <c r="A22" s="370" t="s">
        <v>99</v>
      </c>
      <c r="B22" s="373"/>
      <c r="C22" s="7"/>
      <c r="D22" s="7"/>
      <c r="E22" s="37"/>
      <c r="F22" s="41"/>
      <c r="G22" s="348"/>
      <c r="H22" s="371"/>
      <c r="I22" s="66"/>
      <c r="J22" s="66"/>
      <c r="K22" s="349"/>
      <c r="L22" s="350"/>
      <c r="M22" s="351"/>
      <c r="N22" s="258"/>
      <c r="O22" s="258"/>
      <c r="P22" s="353"/>
      <c r="Q22" s="258"/>
      <c r="R22" s="258"/>
    </row>
    <row r="23" spans="1:18" ht="28.5" customHeight="1" thickBot="1" x14ac:dyDescent="0.35">
      <c r="A23" s="374"/>
      <c r="B23" s="375" t="s">
        <v>100</v>
      </c>
      <c r="C23" s="68" t="s">
        <v>90</v>
      </c>
      <c r="D23" s="68">
        <v>4</v>
      </c>
      <c r="E23" s="69">
        <f>1888.71*1.15</f>
        <v>2172.0164999999997</v>
      </c>
      <c r="F23" s="52">
        <v>0.2</v>
      </c>
      <c r="G23" s="376">
        <f>E23/(1-F23)</f>
        <v>2715.0206249999997</v>
      </c>
      <c r="H23" s="377">
        <f>250*1</f>
        <v>250</v>
      </c>
      <c r="I23" s="83">
        <v>0.15</v>
      </c>
      <c r="J23" s="79">
        <f>H23*(1+I23)</f>
        <v>287.5</v>
      </c>
      <c r="K23" s="349">
        <f>J23*D23</f>
        <v>1150</v>
      </c>
      <c r="L23" s="350">
        <f>G23+J23</f>
        <v>3002.5206249999997</v>
      </c>
      <c r="M23" s="378">
        <f>D23*L23</f>
        <v>12010.082499999999</v>
      </c>
      <c r="N23" s="258"/>
      <c r="O23" s="258"/>
      <c r="P23" s="353"/>
      <c r="Q23" s="258"/>
      <c r="R23" s="258"/>
    </row>
    <row r="24" spans="1:18" ht="14.5" customHeight="1" thickBot="1" x14ac:dyDescent="0.35">
      <c r="A24" s="354"/>
      <c r="B24" s="355"/>
      <c r="C24" s="97"/>
      <c r="D24" s="72"/>
      <c r="E24" s="73"/>
      <c r="F24" s="74"/>
      <c r="G24" s="356"/>
      <c r="H24" s="356"/>
      <c r="I24" s="73"/>
      <c r="J24" s="73"/>
      <c r="K24" s="357"/>
      <c r="L24" s="358"/>
      <c r="M24" s="358"/>
      <c r="N24" s="258"/>
      <c r="O24" s="258"/>
      <c r="P24" s="258"/>
      <c r="Q24" s="258"/>
      <c r="R24" s="258"/>
    </row>
    <row r="25" spans="1:18" ht="14.15" customHeight="1" x14ac:dyDescent="0.3">
      <c r="A25" s="379">
        <v>2.5</v>
      </c>
      <c r="B25" s="360"/>
      <c r="C25" s="255"/>
      <c r="D25" s="58" t="s">
        <v>101</v>
      </c>
      <c r="E25" s="56"/>
      <c r="F25" s="57"/>
      <c r="G25" s="361"/>
      <c r="H25" s="361"/>
      <c r="I25" s="56"/>
      <c r="J25" s="56"/>
      <c r="K25" s="362"/>
      <c r="L25" s="363"/>
      <c r="M25" s="363"/>
      <c r="N25" s="258"/>
      <c r="O25" s="258"/>
      <c r="P25" s="258"/>
      <c r="Q25" s="258"/>
      <c r="R25" s="258"/>
    </row>
    <row r="26" spans="1:18" ht="28" customHeight="1" x14ac:dyDescent="0.3">
      <c r="A26" s="380" t="s">
        <v>102</v>
      </c>
      <c r="B26" s="368" t="s">
        <v>103</v>
      </c>
      <c r="C26" s="7" t="s">
        <v>85</v>
      </c>
      <c r="D26" s="7">
        <v>1</v>
      </c>
      <c r="E26" s="37">
        <v>650</v>
      </c>
      <c r="F26" s="41">
        <v>0.2</v>
      </c>
      <c r="G26" s="348">
        <f>E26/(1-F26)</f>
        <v>812.5</v>
      </c>
      <c r="H26" s="371">
        <f>(((5*200)*4)*1.2)/D26</f>
        <v>4800</v>
      </c>
      <c r="I26" s="83">
        <v>0.15</v>
      </c>
      <c r="J26" s="79">
        <f>H26*(1+I26)</f>
        <v>5520</v>
      </c>
      <c r="K26" s="349">
        <f>J26*D26</f>
        <v>5520</v>
      </c>
      <c r="L26" s="350">
        <f>G26+J26</f>
        <v>6332.5</v>
      </c>
      <c r="M26" s="351">
        <f>D26*L26</f>
        <v>6332.5</v>
      </c>
      <c r="N26" s="258"/>
      <c r="O26" s="258"/>
      <c r="P26" s="353"/>
      <c r="Q26" s="258"/>
      <c r="R26" s="258"/>
    </row>
    <row r="27" spans="1:18" ht="14.5" customHeight="1" thickBot="1" x14ac:dyDescent="0.35">
      <c r="A27" s="381"/>
      <c r="B27" s="375" t="s">
        <v>104</v>
      </c>
      <c r="C27" s="85"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c r="P27" s="258"/>
      <c r="Q27" s="258"/>
      <c r="R27" s="258"/>
    </row>
    <row r="28" spans="1:18" ht="14.5" customHeight="1" thickBot="1" x14ac:dyDescent="0.35">
      <c r="A28" s="354"/>
      <c r="B28" s="355"/>
      <c r="C28" s="97"/>
      <c r="D28" s="72"/>
      <c r="E28" s="73"/>
      <c r="F28" s="74"/>
      <c r="G28" s="356"/>
      <c r="H28" s="356"/>
      <c r="I28" s="73"/>
      <c r="J28" s="73"/>
      <c r="K28" s="357"/>
      <c r="L28" s="358"/>
      <c r="M28" s="358"/>
      <c r="N28" s="258"/>
      <c r="O28" s="258"/>
      <c r="P28" s="258"/>
      <c r="Q28" s="258"/>
      <c r="R28" s="258"/>
    </row>
    <row r="29" spans="1:18" ht="14.15" customHeight="1" x14ac:dyDescent="0.3">
      <c r="A29" s="359">
        <v>2.6</v>
      </c>
      <c r="B29" s="360"/>
      <c r="C29" s="255"/>
      <c r="D29" s="58" t="s">
        <v>105</v>
      </c>
      <c r="E29" s="56"/>
      <c r="F29" s="57"/>
      <c r="G29" s="361"/>
      <c r="H29" s="361"/>
      <c r="I29" s="56"/>
      <c r="J29" s="56"/>
      <c r="K29" s="362"/>
      <c r="L29" s="363"/>
      <c r="M29" s="363"/>
      <c r="N29" s="258"/>
      <c r="O29" s="258"/>
      <c r="P29" s="258"/>
      <c r="Q29" s="258"/>
      <c r="R29" s="258"/>
    </row>
    <row r="30" spans="1:18" ht="42" customHeight="1" x14ac:dyDescent="0.3">
      <c r="A30" s="341" t="s">
        <v>106</v>
      </c>
      <c r="B30" s="368" t="s">
        <v>107</v>
      </c>
      <c r="C30" s="248" t="s">
        <v>108</v>
      </c>
      <c r="D30" s="1">
        <v>0</v>
      </c>
      <c r="E30" s="36">
        <f>14.85*1.15</f>
        <v>17.077499999999997</v>
      </c>
      <c r="F30" s="41">
        <v>0.2</v>
      </c>
      <c r="G30" s="348">
        <f>E30/(1-F30)</f>
        <v>21.346874999999994</v>
      </c>
      <c r="H30" s="348">
        <f>39</f>
        <v>39</v>
      </c>
      <c r="I30" s="83">
        <v>0.15</v>
      </c>
      <c r="J30" s="79">
        <f>H30*(1+I30)</f>
        <v>44.849999999999994</v>
      </c>
      <c r="K30" s="349">
        <f>J30*D30</f>
        <v>0</v>
      </c>
      <c r="L30" s="350">
        <f>G30+J30</f>
        <v>66.196874999999991</v>
      </c>
      <c r="M30" s="351">
        <f>D30*L30</f>
        <v>0</v>
      </c>
      <c r="N30" s="258"/>
      <c r="O30" s="258"/>
      <c r="P30" s="353"/>
      <c r="Q30" s="258"/>
      <c r="R30" s="258"/>
    </row>
    <row r="31" spans="1:18" ht="14.15" customHeight="1" x14ac:dyDescent="0.3">
      <c r="A31" s="341" t="s">
        <v>109</v>
      </c>
      <c r="B31" s="373" t="s">
        <v>110</v>
      </c>
      <c r="C31" s="248" t="s">
        <v>108</v>
      </c>
      <c r="D31" s="1">
        <v>6</v>
      </c>
      <c r="E31" s="36">
        <f>180*1.15</f>
        <v>206.99999999999997</v>
      </c>
      <c r="F31" s="41">
        <v>0.2</v>
      </c>
      <c r="G31" s="348">
        <f>E31/(1-F31)</f>
        <v>258.74999999999994</v>
      </c>
      <c r="H31" s="348">
        <f>65</f>
        <v>65</v>
      </c>
      <c r="I31" s="83">
        <v>0.15</v>
      </c>
      <c r="J31" s="79">
        <f>H31*(1+I31)</f>
        <v>74.75</v>
      </c>
      <c r="K31" s="349">
        <f>J31*D31</f>
        <v>448.5</v>
      </c>
      <c r="L31" s="350">
        <f>G31+J31</f>
        <v>333.49999999999994</v>
      </c>
      <c r="M31" s="351">
        <f>D31*L31</f>
        <v>2000.9999999999995</v>
      </c>
      <c r="N31" s="258"/>
      <c r="O31" s="258"/>
      <c r="P31" s="353"/>
      <c r="Q31" s="258"/>
      <c r="R31" s="258"/>
    </row>
    <row r="32" spans="1:18" ht="14.15" customHeight="1" x14ac:dyDescent="0.3">
      <c r="A32" s="341" t="s">
        <v>111</v>
      </c>
      <c r="B32" s="373" t="s">
        <v>112</v>
      </c>
      <c r="C32" s="248"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353"/>
      <c r="P32" s="258"/>
      <c r="Q32" s="258"/>
      <c r="R32" s="258"/>
    </row>
    <row r="33" spans="1:18" ht="14.5" customHeight="1" thickBot="1" x14ac:dyDescent="0.35">
      <c r="A33" s="381"/>
      <c r="B33" s="383" t="s">
        <v>113</v>
      </c>
      <c r="C33" s="85"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353"/>
      <c r="P33" s="258"/>
      <c r="Q33" s="258"/>
      <c r="R33" s="258"/>
    </row>
    <row r="34" spans="1:18" ht="14.5" customHeight="1" thickBot="1" x14ac:dyDescent="0.35">
      <c r="A34" s="354"/>
      <c r="B34" s="355"/>
      <c r="C34" s="97"/>
      <c r="D34" s="72"/>
      <c r="E34" s="73"/>
      <c r="F34" s="74"/>
      <c r="G34" s="356"/>
      <c r="H34" s="356"/>
      <c r="I34" s="73"/>
      <c r="J34" s="73"/>
      <c r="K34" s="357"/>
      <c r="L34" s="358"/>
      <c r="M34" s="358"/>
      <c r="N34" s="258"/>
      <c r="O34" s="258"/>
      <c r="P34" s="258"/>
      <c r="Q34" s="258"/>
      <c r="R34" s="258"/>
    </row>
    <row r="35" spans="1:18" ht="14.15" customHeight="1" x14ac:dyDescent="0.3">
      <c r="A35" s="359">
        <v>2.7</v>
      </c>
      <c r="B35" s="360"/>
      <c r="C35" s="255"/>
      <c r="D35" s="58" t="s">
        <v>114</v>
      </c>
      <c r="E35" s="56"/>
      <c r="F35" s="57"/>
      <c r="G35" s="361"/>
      <c r="H35" s="361"/>
      <c r="I35" s="56"/>
      <c r="J35" s="56"/>
      <c r="K35" s="362"/>
      <c r="L35" s="363"/>
      <c r="M35" s="363"/>
      <c r="N35" s="258"/>
      <c r="O35" s="258"/>
      <c r="P35" s="258"/>
      <c r="Q35" s="258"/>
      <c r="R35" s="258"/>
    </row>
    <row r="36" spans="1:18" ht="42" customHeight="1" x14ac:dyDescent="0.3">
      <c r="A36" s="370" t="s">
        <v>115</v>
      </c>
      <c r="B36" s="368" t="s">
        <v>116</v>
      </c>
      <c r="C36" s="7" t="s">
        <v>90</v>
      </c>
      <c r="D36" s="7">
        <v>0</v>
      </c>
      <c r="E36" s="37">
        <f>13501.37*1.2</f>
        <v>16201.644</v>
      </c>
      <c r="F36" s="41">
        <v>0.2</v>
      </c>
      <c r="G36" s="348">
        <f>E36/(1-F36)</f>
        <v>20252.055</v>
      </c>
      <c r="H36" s="371">
        <f>250*2</f>
        <v>500</v>
      </c>
      <c r="I36" s="83">
        <v>0.15</v>
      </c>
      <c r="J36" s="79">
        <f>H36*(1+I36)</f>
        <v>575</v>
      </c>
      <c r="K36" s="349">
        <f>J36*D36</f>
        <v>0</v>
      </c>
      <c r="L36" s="350">
        <f>G36+J36</f>
        <v>20827.055</v>
      </c>
      <c r="M36" s="351">
        <f>D36*L36</f>
        <v>0</v>
      </c>
      <c r="N36" s="258"/>
      <c r="O36" s="258"/>
      <c r="P36" s="258"/>
      <c r="Q36" s="258"/>
      <c r="R36" s="258"/>
    </row>
    <row r="37" spans="1:18" ht="42.65" customHeight="1" thickBot="1" x14ac:dyDescent="0.35">
      <c r="A37" s="381" t="s">
        <v>117</v>
      </c>
      <c r="B37" s="375" t="s">
        <v>118</v>
      </c>
      <c r="C37" s="68" t="s">
        <v>90</v>
      </c>
      <c r="D37" s="68">
        <v>0</v>
      </c>
      <c r="E37" s="69">
        <f>13501.37*1.2</f>
        <v>16201.644</v>
      </c>
      <c r="F37" s="52">
        <v>0.2</v>
      </c>
      <c r="G37" s="376">
        <f>E37/(1-F37)</f>
        <v>20252.055</v>
      </c>
      <c r="H37" s="377">
        <f>250*2</f>
        <v>500</v>
      </c>
      <c r="I37" s="83">
        <v>0.15</v>
      </c>
      <c r="J37" s="79">
        <f>H37*(1+I37)</f>
        <v>575</v>
      </c>
      <c r="K37" s="382">
        <f>J37*D37</f>
        <v>0</v>
      </c>
      <c r="L37" s="350">
        <f>G37+J37</f>
        <v>20827.055</v>
      </c>
      <c r="M37" s="378">
        <f>D37*L37</f>
        <v>0</v>
      </c>
      <c r="N37" s="258"/>
      <c r="O37" s="258"/>
      <c r="P37" s="258"/>
      <c r="Q37" s="258"/>
      <c r="R37" s="258"/>
    </row>
    <row r="38" spans="1:18" ht="14.5" customHeight="1" thickBot="1" x14ac:dyDescent="0.35">
      <c r="A38" s="354"/>
      <c r="B38" s="355"/>
      <c r="C38" s="97"/>
      <c r="D38" s="72"/>
      <c r="E38" s="73"/>
      <c r="F38" s="74"/>
      <c r="G38" s="356"/>
      <c r="H38" s="356"/>
      <c r="I38" s="73"/>
      <c r="J38" s="73"/>
      <c r="K38" s="357"/>
      <c r="L38" s="358"/>
      <c r="M38" s="358"/>
      <c r="N38" s="258"/>
      <c r="O38" s="258"/>
      <c r="P38" s="258"/>
      <c r="Q38" s="258"/>
      <c r="R38" s="258"/>
    </row>
    <row r="39" spans="1:18" ht="16.5" customHeight="1" x14ac:dyDescent="0.3">
      <c r="A39" s="359">
        <v>2.8</v>
      </c>
      <c r="B39" s="360"/>
      <c r="C39" s="255"/>
      <c r="D39" s="58" t="s">
        <v>119</v>
      </c>
      <c r="E39" s="56"/>
      <c r="F39" s="57"/>
      <c r="G39" s="361"/>
      <c r="H39" s="361"/>
      <c r="I39" s="56"/>
      <c r="J39" s="56"/>
      <c r="K39" s="362"/>
      <c r="L39" s="363"/>
      <c r="M39" s="363"/>
      <c r="N39" s="258"/>
      <c r="O39" s="258"/>
      <c r="P39" s="258"/>
      <c r="Q39" s="258"/>
      <c r="R39" s="258"/>
    </row>
    <row r="40" spans="1:18" ht="16.5" customHeight="1" x14ac:dyDescent="0.3">
      <c r="A40" s="384"/>
      <c r="B40" s="342"/>
      <c r="C40" s="30"/>
      <c r="D40" s="1"/>
      <c r="E40" s="36"/>
      <c r="F40" s="41"/>
      <c r="G40" s="348"/>
      <c r="H40" s="348"/>
      <c r="I40" s="83"/>
      <c r="J40" s="79"/>
      <c r="K40" s="349"/>
      <c r="L40" s="350"/>
      <c r="M40" s="351"/>
      <c r="N40" s="258"/>
      <c r="O40" s="258"/>
      <c r="P40" s="258"/>
      <c r="Q40" s="258"/>
      <c r="R40" s="258"/>
    </row>
    <row r="41" spans="1:18" ht="14.15" customHeight="1" x14ac:dyDescent="0.3">
      <c r="A41" s="341" t="s">
        <v>120</v>
      </c>
      <c r="B41" s="385" t="s">
        <v>121</v>
      </c>
      <c r="C41" s="30" t="s">
        <v>90</v>
      </c>
      <c r="D41" s="1">
        <v>2</v>
      </c>
      <c r="E41" s="36">
        <v>2500</v>
      </c>
      <c r="F41" s="41">
        <v>0.2</v>
      </c>
      <c r="G41" s="348">
        <f>E41/(1-F41)</f>
        <v>3125</v>
      </c>
      <c r="H41" s="348">
        <f>(250+100)*4</f>
        <v>1400</v>
      </c>
      <c r="I41" s="83">
        <v>0.15</v>
      </c>
      <c r="J41" s="79">
        <f>H41*(1+I41)</f>
        <v>1609.9999999999998</v>
      </c>
      <c r="K41" s="349">
        <f>J41*D41</f>
        <v>3219.9999999999995</v>
      </c>
      <c r="L41" s="350">
        <f>G41+J41</f>
        <v>4735</v>
      </c>
      <c r="M41" s="351">
        <f>D41*L41</f>
        <v>9470</v>
      </c>
      <c r="N41" s="258"/>
      <c r="O41" s="258"/>
      <c r="P41" s="258"/>
      <c r="Q41" s="258"/>
      <c r="R41" s="258"/>
    </row>
    <row r="42" spans="1:18" ht="14.15" customHeight="1" x14ac:dyDescent="0.3">
      <c r="A42" s="341"/>
      <c r="B42" s="386"/>
      <c r="C42" s="103"/>
      <c r="D42" s="1"/>
      <c r="E42" s="36"/>
      <c r="F42" s="41"/>
      <c r="G42" s="348"/>
      <c r="H42" s="348"/>
      <c r="I42" s="79"/>
      <c r="J42" s="79"/>
      <c r="K42" s="349"/>
      <c r="L42" s="350"/>
      <c r="M42" s="351"/>
      <c r="N42" s="258"/>
      <c r="O42" s="258"/>
      <c r="P42" s="258"/>
      <c r="Q42" s="258"/>
      <c r="R42" s="258"/>
    </row>
    <row r="43" spans="1:18" ht="14.15" customHeight="1" x14ac:dyDescent="0.3">
      <c r="A43" s="341" t="s">
        <v>122</v>
      </c>
      <c r="B43" s="385" t="s">
        <v>123</v>
      </c>
      <c r="C43" s="30" t="s">
        <v>90</v>
      </c>
      <c r="D43" s="1">
        <v>0</v>
      </c>
      <c r="E43" s="36">
        <v>1800</v>
      </c>
      <c r="F43" s="41">
        <v>0.2</v>
      </c>
      <c r="G43" s="348">
        <f>E43/(1-F43)</f>
        <v>2250</v>
      </c>
      <c r="H43" s="348">
        <f>(250+100)*4</f>
        <v>1400</v>
      </c>
      <c r="I43" s="83">
        <v>0.15</v>
      </c>
      <c r="J43" s="79">
        <f>H43*(1+I43)</f>
        <v>1609.9999999999998</v>
      </c>
      <c r="K43" s="349">
        <f>J43*D43</f>
        <v>0</v>
      </c>
      <c r="L43" s="350">
        <f>G43+J43</f>
        <v>3860</v>
      </c>
      <c r="M43" s="351">
        <f>D43*L43</f>
        <v>0</v>
      </c>
      <c r="N43" s="258"/>
      <c r="O43" s="258"/>
      <c r="P43" s="258"/>
      <c r="Q43" s="258"/>
      <c r="R43" s="258"/>
    </row>
    <row r="44" spans="1:18" ht="14.15" customHeight="1" x14ac:dyDescent="0.3">
      <c r="A44" s="341"/>
      <c r="B44" s="385"/>
      <c r="C44" s="30"/>
      <c r="D44" s="1"/>
      <c r="E44" s="36"/>
      <c r="F44" s="41"/>
      <c r="G44" s="348"/>
      <c r="H44" s="348"/>
      <c r="I44" s="79"/>
      <c r="J44" s="79"/>
      <c r="K44" s="349"/>
      <c r="L44" s="350"/>
      <c r="M44" s="351"/>
      <c r="N44" s="258"/>
      <c r="O44" s="258"/>
      <c r="P44" s="258"/>
      <c r="Q44" s="258"/>
      <c r="R44" s="258"/>
    </row>
    <row r="45" spans="1:18" ht="14.15" customHeight="1" x14ac:dyDescent="0.3">
      <c r="A45" s="341" t="s">
        <v>124</v>
      </c>
      <c r="B45" s="385" t="s">
        <v>125</v>
      </c>
      <c r="C45" s="30" t="s">
        <v>90</v>
      </c>
      <c r="D45" s="1">
        <f>2 + N("Isolators")</f>
        <v>2</v>
      </c>
      <c r="E45" s="36">
        <v>1734.1</v>
      </c>
      <c r="F45" s="41">
        <v>0.2</v>
      </c>
      <c r="G45" s="348">
        <f>E45/(1-F45)</f>
        <v>2167.6249999999995</v>
      </c>
      <c r="H45" s="348">
        <f>(250+100)*4</f>
        <v>1400</v>
      </c>
      <c r="I45" s="83">
        <v>0.15</v>
      </c>
      <c r="J45" s="79">
        <f>H45*(1+I45)</f>
        <v>1609.9999999999998</v>
      </c>
      <c r="K45" s="349">
        <f>J45*D45</f>
        <v>3219.9999999999995</v>
      </c>
      <c r="L45" s="350">
        <f>G45+J45</f>
        <v>3777.6249999999991</v>
      </c>
      <c r="M45" s="351">
        <f>D45*L45</f>
        <v>7555.2499999999982</v>
      </c>
      <c r="N45" s="258"/>
      <c r="O45" s="258"/>
      <c r="P45" s="258"/>
      <c r="Q45" s="258"/>
      <c r="R45" s="258"/>
    </row>
    <row r="46" spans="1:18" ht="14.15" customHeight="1" x14ac:dyDescent="0.3">
      <c r="A46" s="341"/>
      <c r="B46" s="387"/>
      <c r="C46" s="103"/>
      <c r="D46" s="1"/>
      <c r="E46" s="36"/>
      <c r="F46" s="41"/>
      <c r="G46" s="348"/>
      <c r="H46" s="348"/>
      <c r="I46" s="79"/>
      <c r="J46" s="79"/>
      <c r="K46" s="349"/>
      <c r="L46" s="350"/>
      <c r="M46" s="351"/>
      <c r="N46" s="258"/>
      <c r="O46" s="258"/>
      <c r="P46" s="258"/>
      <c r="Q46" s="258"/>
      <c r="R46" s="258"/>
    </row>
    <row r="47" spans="1:18" ht="14.5" customHeight="1" thickBot="1" x14ac:dyDescent="0.35">
      <c r="A47" s="381" t="s">
        <v>126</v>
      </c>
      <c r="B47" s="388" t="s">
        <v>127</v>
      </c>
      <c r="C47" s="49" t="s">
        <v>90</v>
      </c>
      <c r="D47" s="50">
        <v>1</v>
      </c>
      <c r="E47" s="51">
        <f>550*1.2</f>
        <v>660</v>
      </c>
      <c r="F47" s="52">
        <v>0.2</v>
      </c>
      <c r="G47" s="376">
        <f>E47/(1-F47)</f>
        <v>825</v>
      </c>
      <c r="H47" s="376">
        <f>(250+100)*4</f>
        <v>1400</v>
      </c>
      <c r="I47" s="83">
        <v>0.15</v>
      </c>
      <c r="J47" s="79">
        <f>H47*(1+I47)</f>
        <v>1609.9999999999998</v>
      </c>
      <c r="K47" s="349">
        <f>J47*D47</f>
        <v>1609.9999999999998</v>
      </c>
      <c r="L47" s="350">
        <f>G47+J47</f>
        <v>2435</v>
      </c>
      <c r="M47" s="378">
        <f>D47*L47</f>
        <v>2435</v>
      </c>
      <c r="N47" s="258"/>
      <c r="O47" s="258"/>
      <c r="P47" s="258"/>
      <c r="Q47" s="258"/>
      <c r="R47" s="258"/>
    </row>
    <row r="48" spans="1:18" ht="14.5" customHeight="1" thickBot="1" x14ac:dyDescent="0.35">
      <c r="A48" s="354"/>
      <c r="B48" s="355"/>
      <c r="C48" s="97"/>
      <c r="D48" s="72"/>
      <c r="E48" s="73"/>
      <c r="F48" s="74"/>
      <c r="G48" s="356"/>
      <c r="H48" s="356"/>
      <c r="I48" s="73"/>
      <c r="J48" s="73"/>
      <c r="K48" s="357"/>
      <c r="L48" s="358"/>
      <c r="M48" s="358"/>
      <c r="N48" s="258"/>
      <c r="O48" s="258"/>
      <c r="P48" s="258"/>
      <c r="Q48" s="258"/>
      <c r="R48" s="258"/>
    </row>
    <row r="49" spans="1:18" ht="16.5" customHeight="1" x14ac:dyDescent="0.3">
      <c r="A49" s="359">
        <v>2.9</v>
      </c>
      <c r="B49" s="367"/>
      <c r="C49" s="255"/>
      <c r="D49" s="58" t="s">
        <v>128</v>
      </c>
      <c r="E49" s="56"/>
      <c r="F49" s="57"/>
      <c r="G49" s="361"/>
      <c r="H49" s="361"/>
      <c r="I49" s="56"/>
      <c r="J49" s="56"/>
      <c r="K49" s="362"/>
      <c r="L49" s="363"/>
      <c r="M49" s="363"/>
      <c r="N49" s="258"/>
      <c r="O49" s="258"/>
      <c r="P49" s="258"/>
      <c r="Q49" s="258"/>
      <c r="R49" s="258"/>
    </row>
    <row r="50" spans="1:18" ht="16.5" customHeight="1" x14ac:dyDescent="0.3">
      <c r="A50" s="341"/>
      <c r="B50" s="342"/>
      <c r="C50" s="30"/>
      <c r="D50" s="1"/>
      <c r="E50" s="36"/>
      <c r="F50" s="41"/>
      <c r="G50" s="348"/>
      <c r="H50" s="348"/>
      <c r="I50" s="79"/>
      <c r="J50" s="79"/>
      <c r="K50" s="349"/>
      <c r="L50" s="350"/>
      <c r="M50" s="351"/>
      <c r="N50" s="258"/>
      <c r="O50" s="258"/>
      <c r="P50" s="258"/>
      <c r="Q50" s="258"/>
      <c r="R50" s="258"/>
    </row>
    <row r="51" spans="1:18" ht="14.15" customHeight="1" x14ac:dyDescent="0.3">
      <c r="A51" s="341" t="s">
        <v>129</v>
      </c>
      <c r="B51" s="385" t="s">
        <v>130</v>
      </c>
      <c r="C51" s="30" t="s">
        <v>90</v>
      </c>
      <c r="D51" s="1">
        <v>0</v>
      </c>
      <c r="E51" s="36">
        <v>2500</v>
      </c>
      <c r="F51" s="41">
        <v>0.2</v>
      </c>
      <c r="G51" s="348">
        <f>E51/(1-F51)</f>
        <v>3125</v>
      </c>
      <c r="H51" s="348">
        <f>250*1</f>
        <v>250</v>
      </c>
      <c r="I51" s="83">
        <v>0.15</v>
      </c>
      <c r="J51" s="79">
        <f>H51*(1+I51)</f>
        <v>287.5</v>
      </c>
      <c r="K51" s="349">
        <f>J51*D51</f>
        <v>0</v>
      </c>
      <c r="L51" s="350">
        <f>G51+J51</f>
        <v>3412.5</v>
      </c>
      <c r="M51" s="351">
        <f>D51*L51</f>
        <v>0</v>
      </c>
      <c r="N51" s="258"/>
      <c r="O51" s="258"/>
      <c r="P51" s="353"/>
      <c r="Q51" s="258"/>
      <c r="R51" s="258"/>
    </row>
    <row r="52" spans="1:18" ht="14.15" customHeight="1" x14ac:dyDescent="0.3">
      <c r="A52" s="341"/>
      <c r="B52" s="385"/>
      <c r="C52" s="30"/>
      <c r="D52" s="1"/>
      <c r="E52" s="36"/>
      <c r="F52" s="41"/>
      <c r="G52" s="348"/>
      <c r="H52" s="348"/>
      <c r="I52" s="79"/>
      <c r="J52" s="79"/>
      <c r="K52" s="349"/>
      <c r="L52" s="350"/>
      <c r="M52" s="351"/>
      <c r="N52" s="258"/>
      <c r="O52" s="258"/>
      <c r="P52" s="353"/>
      <c r="Q52" s="258"/>
      <c r="R52" s="258"/>
    </row>
    <row r="53" spans="1:18" ht="14.15" customHeight="1" x14ac:dyDescent="0.3">
      <c r="A53" s="341" t="s">
        <v>131</v>
      </c>
      <c r="B53" s="385" t="s">
        <v>132</v>
      </c>
      <c r="C53" s="30" t="s">
        <v>90</v>
      </c>
      <c r="D53" s="1">
        <v>3</v>
      </c>
      <c r="E53" s="36">
        <v>5729</v>
      </c>
      <c r="F53" s="41">
        <v>0.2</v>
      </c>
      <c r="G53" s="348">
        <f>E53/(1-F53)</f>
        <v>7161.25</v>
      </c>
      <c r="H53" s="348">
        <v>250</v>
      </c>
      <c r="I53" s="83">
        <v>0.15</v>
      </c>
      <c r="J53" s="79">
        <f>H53*(1+I53)</f>
        <v>287.5</v>
      </c>
      <c r="K53" s="349">
        <f>J53*D53</f>
        <v>862.5</v>
      </c>
      <c r="L53" s="350">
        <f>G53+J53</f>
        <v>7448.75</v>
      </c>
      <c r="M53" s="351">
        <f>D53*L53</f>
        <v>22346.25</v>
      </c>
      <c r="N53" s="258"/>
      <c r="O53" s="353"/>
      <c r="P53" s="258"/>
      <c r="Q53" s="258"/>
      <c r="R53" s="258"/>
    </row>
    <row r="54" spans="1:18" ht="14.15" customHeight="1" x14ac:dyDescent="0.3">
      <c r="A54" s="341"/>
      <c r="B54" s="387"/>
      <c r="C54" s="103"/>
      <c r="D54" s="1"/>
      <c r="E54" s="36"/>
      <c r="F54" s="41"/>
      <c r="G54" s="348"/>
      <c r="H54" s="348"/>
      <c r="I54" s="79"/>
      <c r="J54" s="79"/>
      <c r="K54" s="349"/>
      <c r="L54" s="350"/>
      <c r="M54" s="351"/>
      <c r="N54" s="258"/>
      <c r="O54" s="258"/>
      <c r="P54" s="258"/>
      <c r="Q54" s="258"/>
      <c r="R54" s="258"/>
    </row>
    <row r="55" spans="1:18" ht="28" customHeight="1" x14ac:dyDescent="0.3">
      <c r="A55" s="341" t="s">
        <v>133</v>
      </c>
      <c r="B55" s="387" t="s">
        <v>134</v>
      </c>
      <c r="C55" s="30" t="s">
        <v>90</v>
      </c>
      <c r="D55" s="1">
        <v>1</v>
      </c>
      <c r="E55" s="36">
        <f>5729</f>
        <v>5729</v>
      </c>
      <c r="F55" s="41">
        <v>0.2</v>
      </c>
      <c r="G55" s="348">
        <f>E55/(1-F55)</f>
        <v>7161.25</v>
      </c>
      <c r="H55" s="348">
        <v>250</v>
      </c>
      <c r="I55" s="83">
        <v>0.15</v>
      </c>
      <c r="J55" s="79">
        <f>H55*(1+I55)</f>
        <v>287.5</v>
      </c>
      <c r="K55" s="349">
        <f>J55*D55</f>
        <v>287.5</v>
      </c>
      <c r="L55" s="350">
        <f>G55+J55</f>
        <v>7448.75</v>
      </c>
      <c r="M55" s="351">
        <f>D55*L55</f>
        <v>7448.75</v>
      </c>
      <c r="N55" s="258"/>
      <c r="O55" s="258"/>
      <c r="P55" s="353"/>
      <c r="Q55" s="258"/>
      <c r="R55" s="258"/>
    </row>
    <row r="56" spans="1:18" ht="14.15" customHeight="1" x14ac:dyDescent="0.3">
      <c r="A56" s="341"/>
      <c r="B56" s="387"/>
      <c r="C56" s="96"/>
      <c r="D56" s="1"/>
      <c r="E56" s="36"/>
      <c r="F56" s="41"/>
      <c r="G56" s="348"/>
      <c r="H56" s="348"/>
      <c r="I56" s="79"/>
      <c r="J56" s="79"/>
      <c r="K56" s="349"/>
      <c r="L56" s="350"/>
      <c r="M56" s="351"/>
      <c r="N56" s="258"/>
      <c r="O56" s="258"/>
      <c r="P56" s="258"/>
      <c r="Q56" s="258"/>
      <c r="R56" s="258"/>
    </row>
    <row r="57" spans="1:18" ht="28" customHeight="1" x14ac:dyDescent="0.3">
      <c r="A57" s="341" t="s">
        <v>135</v>
      </c>
      <c r="B57" s="385" t="s">
        <v>136</v>
      </c>
      <c r="C57" s="30" t="s">
        <v>90</v>
      </c>
      <c r="D57" s="1">
        <v>3</v>
      </c>
      <c r="E57" s="36">
        <v>350</v>
      </c>
      <c r="F57" s="41">
        <v>0.2</v>
      </c>
      <c r="G57" s="348">
        <f>E57/(1-F57)</f>
        <v>437.5</v>
      </c>
      <c r="H57" s="348">
        <v>250</v>
      </c>
      <c r="I57" s="83">
        <v>0.15</v>
      </c>
      <c r="J57" s="79">
        <f>H57*(1+I57)</f>
        <v>287.5</v>
      </c>
      <c r="K57" s="349">
        <f>J57*D57</f>
        <v>862.5</v>
      </c>
      <c r="L57" s="350">
        <f>G57+J57</f>
        <v>725</v>
      </c>
      <c r="M57" s="351">
        <f>D57*L57</f>
        <v>2175</v>
      </c>
      <c r="N57" s="258"/>
      <c r="O57" s="318"/>
      <c r="P57" s="258"/>
      <c r="Q57" s="258"/>
      <c r="R57" s="258"/>
    </row>
    <row r="58" spans="1:18" ht="14.15" customHeight="1" x14ac:dyDescent="0.3">
      <c r="A58" s="341"/>
      <c r="B58" s="387"/>
      <c r="C58" s="103"/>
      <c r="D58" s="1"/>
      <c r="E58" s="36"/>
      <c r="F58" s="41"/>
      <c r="G58" s="348"/>
      <c r="H58" s="348"/>
      <c r="I58" s="79"/>
      <c r="J58" s="79"/>
      <c r="K58" s="349"/>
      <c r="L58" s="350"/>
      <c r="M58" s="351"/>
      <c r="N58" s="258"/>
      <c r="O58" s="258"/>
      <c r="P58" s="258"/>
      <c r="Q58" s="258"/>
      <c r="R58" s="258"/>
    </row>
    <row r="59" spans="1:18" ht="28" customHeight="1" x14ac:dyDescent="0.3">
      <c r="A59" s="341" t="s">
        <v>137</v>
      </c>
      <c r="B59" s="385" t="s">
        <v>138</v>
      </c>
      <c r="C59" s="30" t="s">
        <v>108</v>
      </c>
      <c r="D59" s="1">
        <v>2</v>
      </c>
      <c r="E59" s="36">
        <f>35</f>
        <v>35</v>
      </c>
      <c r="F59" s="41">
        <v>0.2</v>
      </c>
      <c r="G59" s="348">
        <f>E59/(1-F59)</f>
        <v>43.75</v>
      </c>
      <c r="H59" s="348">
        <f>(65*3)</f>
        <v>195</v>
      </c>
      <c r="I59" s="83">
        <v>0.15</v>
      </c>
      <c r="J59" s="79">
        <f>H59*(1+I59)</f>
        <v>224.24999999999997</v>
      </c>
      <c r="K59" s="349">
        <f>J59*D59</f>
        <v>448.49999999999994</v>
      </c>
      <c r="L59" s="350">
        <f>G59+J59</f>
        <v>268</v>
      </c>
      <c r="M59" s="351">
        <f>D59*L59</f>
        <v>536</v>
      </c>
      <c r="N59" s="258"/>
      <c r="O59" s="318"/>
      <c r="P59" s="258"/>
      <c r="Q59" s="258"/>
      <c r="R59" s="258"/>
    </row>
    <row r="60" spans="1:18" ht="14.15" customHeight="1" x14ac:dyDescent="0.3">
      <c r="A60" s="341"/>
      <c r="B60" s="387"/>
      <c r="C60" s="96"/>
      <c r="D60" s="1"/>
      <c r="E60" s="36"/>
      <c r="F60" s="41"/>
      <c r="G60" s="348"/>
      <c r="H60" s="348"/>
      <c r="I60" s="79"/>
      <c r="J60" s="79"/>
      <c r="K60" s="349"/>
      <c r="L60" s="350"/>
      <c r="M60" s="351"/>
      <c r="N60" s="258"/>
      <c r="O60" s="258"/>
      <c r="P60" s="258"/>
      <c r="Q60" s="258"/>
      <c r="R60" s="258"/>
    </row>
    <row r="61" spans="1:18" ht="14.5" customHeight="1" thickBot="1" x14ac:dyDescent="0.35">
      <c r="A61" s="341" t="s">
        <v>139</v>
      </c>
      <c r="B61" s="385" t="s">
        <v>140</v>
      </c>
      <c r="C61" s="30" t="s">
        <v>42</v>
      </c>
      <c r="D61" s="1">
        <v>1</v>
      </c>
      <c r="E61" s="36">
        <v>1</v>
      </c>
      <c r="F61" s="41">
        <v>0.2</v>
      </c>
      <c r="G61" s="348">
        <f>E61/(1-F61)</f>
        <v>1.25</v>
      </c>
      <c r="H61" s="348">
        <f>2500*3</f>
        <v>7500</v>
      </c>
      <c r="I61" s="83">
        <v>0.15</v>
      </c>
      <c r="J61" s="79">
        <f>H61*(1+I61)</f>
        <v>8625</v>
      </c>
      <c r="K61" s="349">
        <f>J61*D61</f>
        <v>8625</v>
      </c>
      <c r="L61" s="350">
        <f>G61+J61</f>
        <v>8626.25</v>
      </c>
      <c r="M61" s="351">
        <f>D61*L61</f>
        <v>8626.25</v>
      </c>
      <c r="N61" s="258"/>
      <c r="O61" s="258"/>
      <c r="P61" s="258"/>
      <c r="Q61" s="258"/>
      <c r="R61" s="258"/>
    </row>
    <row r="62" spans="1:18" ht="14.5" customHeight="1" thickBot="1" x14ac:dyDescent="0.35">
      <c r="A62" s="354"/>
      <c r="B62" s="355"/>
      <c r="C62" s="97"/>
      <c r="D62" s="72"/>
      <c r="E62" s="73"/>
      <c r="F62" s="74"/>
      <c r="G62" s="356"/>
      <c r="H62" s="356"/>
      <c r="I62" s="73"/>
      <c r="J62" s="73"/>
      <c r="K62" s="357"/>
      <c r="L62" s="358"/>
      <c r="M62" s="358"/>
      <c r="N62" s="258"/>
      <c r="O62" s="258"/>
      <c r="P62" s="258"/>
      <c r="Q62" s="258"/>
      <c r="R62" s="258"/>
    </row>
    <row r="63" spans="1:18" ht="14.15" customHeight="1" x14ac:dyDescent="0.3">
      <c r="A63" s="389">
        <v>2.1</v>
      </c>
      <c r="B63" s="390"/>
      <c r="C63" s="251"/>
      <c r="D63" s="65" t="s">
        <v>141</v>
      </c>
      <c r="E63" s="53"/>
      <c r="F63" s="54"/>
      <c r="G63" s="391"/>
      <c r="H63" s="391"/>
      <c r="I63" s="53"/>
      <c r="J63" s="53"/>
      <c r="K63" s="392"/>
      <c r="L63" s="393"/>
      <c r="M63" s="393"/>
      <c r="N63" s="258"/>
      <c r="O63" s="258"/>
      <c r="P63" s="258"/>
      <c r="Q63" s="258"/>
      <c r="R63" s="258"/>
    </row>
    <row r="64" spans="1:18" ht="28" customHeight="1" x14ac:dyDescent="0.3">
      <c r="A64" s="370" t="s">
        <v>142</v>
      </c>
      <c r="B64" s="368" t="s">
        <v>143</v>
      </c>
      <c r="C64" s="3" t="s">
        <v>90</v>
      </c>
      <c r="D64" s="3">
        <v>3</v>
      </c>
      <c r="E64" s="37">
        <v>10000</v>
      </c>
      <c r="F64" s="41">
        <v>0.16</v>
      </c>
      <c r="G64" s="348">
        <f>E64/(1-F64)</f>
        <v>11904.761904761905</v>
      </c>
      <c r="H64" s="371">
        <v>200</v>
      </c>
      <c r="I64" s="83">
        <v>0.15</v>
      </c>
      <c r="J64" s="79">
        <f>H64*(1+I64)</f>
        <v>229.99999999999997</v>
      </c>
      <c r="K64" s="349">
        <f>J64*D64</f>
        <v>689.99999999999989</v>
      </c>
      <c r="L64" s="350">
        <f>G64+J64</f>
        <v>12134.761904761905</v>
      </c>
      <c r="M64" s="351">
        <f>D64*L64</f>
        <v>36404.28571428571</v>
      </c>
      <c r="N64" s="258"/>
      <c r="O64" s="258"/>
      <c r="P64" s="353"/>
      <c r="Q64" s="258"/>
      <c r="R64" s="258"/>
    </row>
    <row r="65" spans="1:18" ht="14.15" customHeight="1" x14ac:dyDescent="0.3">
      <c r="A65" s="394"/>
      <c r="B65" s="395"/>
      <c r="C65" s="30"/>
      <c r="D65" s="248"/>
      <c r="E65" s="36"/>
      <c r="F65" s="41"/>
      <c r="G65" s="348"/>
      <c r="H65" s="348"/>
      <c r="I65" s="79"/>
      <c r="J65" s="79"/>
      <c r="K65" s="349"/>
      <c r="L65" s="350"/>
      <c r="M65" s="351"/>
      <c r="N65" s="258"/>
      <c r="O65" s="258"/>
      <c r="P65" s="258"/>
      <c r="Q65" s="258"/>
      <c r="R65" s="258"/>
    </row>
    <row r="66" spans="1:18" ht="28.5" customHeight="1" thickBot="1" x14ac:dyDescent="0.35">
      <c r="A66" s="396" t="s">
        <v>144</v>
      </c>
      <c r="B66" s="375" t="s">
        <v>145</v>
      </c>
      <c r="C66" s="67" t="s">
        <v>90</v>
      </c>
      <c r="D66" s="67">
        <v>0</v>
      </c>
      <c r="E66" s="69">
        <v>7500</v>
      </c>
      <c r="F66" s="52">
        <v>0.16</v>
      </c>
      <c r="G66" s="376">
        <f>E66/(1-F66)</f>
        <v>8928.5714285714294</v>
      </c>
      <c r="H66" s="377">
        <v>200</v>
      </c>
      <c r="I66" s="83">
        <v>0.15</v>
      </c>
      <c r="J66" s="79">
        <f>H66*(1+I66)</f>
        <v>229.99999999999997</v>
      </c>
      <c r="K66" s="382">
        <f>J66*D66</f>
        <v>0</v>
      </c>
      <c r="L66" s="350">
        <f>G66+J66</f>
        <v>9158.5714285714294</v>
      </c>
      <c r="M66" s="378">
        <f>D66*L66</f>
        <v>0</v>
      </c>
      <c r="N66" s="258"/>
      <c r="O66" s="258"/>
      <c r="P66" s="353"/>
      <c r="Q66" s="258"/>
      <c r="R66" s="258"/>
    </row>
    <row r="67" spans="1:18" ht="14.5" customHeight="1" thickBot="1" x14ac:dyDescent="0.35">
      <c r="A67" s="397"/>
      <c r="B67" s="398"/>
      <c r="C67" s="97"/>
      <c r="D67" s="72"/>
      <c r="E67" s="73"/>
      <c r="F67" s="74"/>
      <c r="G67" s="356"/>
      <c r="H67" s="356"/>
      <c r="I67" s="73"/>
      <c r="J67" s="73"/>
      <c r="K67" s="357"/>
      <c r="L67" s="358"/>
      <c r="M67" s="358"/>
      <c r="N67" s="258"/>
      <c r="O67" s="258"/>
      <c r="P67" s="258"/>
      <c r="Q67" s="258"/>
      <c r="R67" s="258"/>
    </row>
    <row r="68" spans="1:18" ht="14.15" customHeight="1" x14ac:dyDescent="0.3">
      <c r="A68" s="359">
        <v>2.11</v>
      </c>
      <c r="B68" s="399"/>
      <c r="C68" s="100"/>
      <c r="D68" s="58" t="s">
        <v>146</v>
      </c>
      <c r="E68" s="56"/>
      <c r="F68" s="57"/>
      <c r="G68" s="361"/>
      <c r="H68" s="361"/>
      <c r="I68" s="56"/>
      <c r="J68" s="56"/>
      <c r="K68" s="362"/>
      <c r="L68" s="363"/>
      <c r="M68" s="363"/>
      <c r="N68" s="258"/>
      <c r="O68" s="258"/>
      <c r="P68" s="258"/>
      <c r="Q68" s="258"/>
      <c r="R68" s="258"/>
    </row>
    <row r="69" spans="1:18" ht="14.15" customHeight="1" x14ac:dyDescent="0.3">
      <c r="A69" s="341"/>
      <c r="B69" s="368"/>
      <c r="C69" s="104"/>
      <c r="D69" s="1"/>
      <c r="E69" s="36"/>
      <c r="F69" s="41"/>
      <c r="G69" s="348"/>
      <c r="H69" s="348"/>
      <c r="I69" s="79"/>
      <c r="J69" s="79"/>
      <c r="K69" s="349"/>
      <c r="L69" s="350"/>
      <c r="M69" s="351"/>
      <c r="N69" s="258"/>
      <c r="O69" s="258"/>
      <c r="P69" s="258"/>
      <c r="Q69" s="258"/>
      <c r="R69" s="258"/>
    </row>
    <row r="70" spans="1:18" ht="14.15" customHeight="1" x14ac:dyDescent="0.3">
      <c r="A70" s="341"/>
      <c r="B70" s="373" t="s">
        <v>147</v>
      </c>
      <c r="C70" s="103"/>
      <c r="D70" s="1"/>
      <c r="E70" s="36"/>
      <c r="F70" s="41"/>
      <c r="G70" s="348"/>
      <c r="H70" s="348"/>
      <c r="I70" s="79"/>
      <c r="J70" s="79"/>
      <c r="K70" s="349"/>
      <c r="L70" s="350"/>
      <c r="M70" s="351"/>
      <c r="N70" s="258"/>
      <c r="O70" s="258"/>
      <c r="P70" s="258"/>
      <c r="Q70" s="258"/>
      <c r="R70" s="258"/>
    </row>
    <row r="71" spans="1:18" ht="14.15" customHeight="1" x14ac:dyDescent="0.3">
      <c r="A71" s="341"/>
      <c r="B71" s="386"/>
      <c r="C71" s="103"/>
      <c r="D71" s="1"/>
      <c r="E71" s="36"/>
      <c r="F71" s="41"/>
      <c r="G71" s="348"/>
      <c r="H71" s="348"/>
      <c r="I71" s="79"/>
      <c r="J71" s="79"/>
      <c r="K71" s="349"/>
      <c r="L71" s="350"/>
      <c r="M71" s="351"/>
      <c r="N71" s="258"/>
      <c r="O71" s="258"/>
      <c r="P71" s="258"/>
      <c r="Q71" s="258"/>
      <c r="R71" s="258"/>
    </row>
    <row r="72" spans="1:18" ht="42" customHeight="1" x14ac:dyDescent="0.3">
      <c r="A72" s="341"/>
      <c r="B72" s="386" t="s">
        <v>148</v>
      </c>
      <c r="C72" s="103"/>
      <c r="D72" s="248"/>
      <c r="E72" s="36"/>
      <c r="F72" s="41"/>
      <c r="G72" s="348"/>
      <c r="H72" s="348"/>
      <c r="I72" s="79"/>
      <c r="J72" s="79"/>
      <c r="K72" s="349"/>
      <c r="L72" s="350"/>
      <c r="M72" s="351"/>
      <c r="N72" s="258"/>
      <c r="O72" s="258"/>
      <c r="P72" s="258"/>
      <c r="Q72" s="258"/>
      <c r="R72" s="258"/>
    </row>
    <row r="73" spans="1:18" ht="14.15" customHeight="1" x14ac:dyDescent="0.3">
      <c r="A73" s="384"/>
      <c r="B73" s="373"/>
      <c r="C73" s="103"/>
      <c r="D73" s="28"/>
      <c r="E73" s="38"/>
      <c r="F73" s="41"/>
      <c r="G73" s="348"/>
      <c r="H73" s="400"/>
      <c r="I73" s="81"/>
      <c r="J73" s="81"/>
      <c r="K73" s="349"/>
      <c r="L73" s="350"/>
      <c r="M73" s="351"/>
      <c r="N73" s="258"/>
      <c r="O73" s="258"/>
      <c r="P73" s="258"/>
      <c r="Q73" s="258"/>
      <c r="R73" s="258"/>
    </row>
    <row r="74" spans="1:18" ht="14.15" customHeight="1" x14ac:dyDescent="0.3">
      <c r="A74" s="341" t="s">
        <v>149</v>
      </c>
      <c r="B74" s="373" t="s">
        <v>150</v>
      </c>
      <c r="C74" s="103" t="s">
        <v>108</v>
      </c>
      <c r="D74" s="1">
        <v>12</v>
      </c>
      <c r="E74" s="36">
        <v>947.75</v>
      </c>
      <c r="F74" s="41">
        <v>0.25</v>
      </c>
      <c r="G74" s="348">
        <f t="shared" ref="G74:G79" si="0">E74/(1-F74)</f>
        <v>1263.6666666666667</v>
      </c>
      <c r="H74" s="348">
        <v>25</v>
      </c>
      <c r="I74" s="83">
        <v>0.15</v>
      </c>
      <c r="J74" s="79">
        <f t="shared" ref="J74:J79" si="1">H74*(1+I74)</f>
        <v>28.749999999999996</v>
      </c>
      <c r="K74" s="349">
        <f t="shared" ref="K74:K79" si="2">J74*D74</f>
        <v>344.99999999999994</v>
      </c>
      <c r="L74" s="350">
        <f t="shared" ref="L74:L79" si="3">G74+J74</f>
        <v>1292.4166666666667</v>
      </c>
      <c r="M74" s="351">
        <f t="shared" ref="M74:M79" si="4">D74*L74</f>
        <v>15509</v>
      </c>
      <c r="N74" s="258"/>
      <c r="O74" s="258"/>
      <c r="P74" s="258"/>
      <c r="Q74" s="258"/>
      <c r="R74" s="258"/>
    </row>
    <row r="75" spans="1:18" ht="14.15" customHeight="1" x14ac:dyDescent="0.3">
      <c r="A75" s="341" t="s">
        <v>151</v>
      </c>
      <c r="B75" s="373" t="s">
        <v>152</v>
      </c>
      <c r="C75" s="103" t="s">
        <v>108</v>
      </c>
      <c r="D75" s="1">
        <v>0</v>
      </c>
      <c r="E75" s="36">
        <v>686.12</v>
      </c>
      <c r="F75" s="41">
        <v>0.25</v>
      </c>
      <c r="G75" s="348">
        <f t="shared" si="0"/>
        <v>914.82666666666671</v>
      </c>
      <c r="H75" s="348">
        <v>25</v>
      </c>
      <c r="I75" s="83">
        <v>0.15</v>
      </c>
      <c r="J75" s="79">
        <f t="shared" si="1"/>
        <v>28.749999999999996</v>
      </c>
      <c r="K75" s="349">
        <f t="shared" si="2"/>
        <v>0</v>
      </c>
      <c r="L75" s="350">
        <f t="shared" si="3"/>
        <v>943.57666666666671</v>
      </c>
      <c r="M75" s="351">
        <f t="shared" si="4"/>
        <v>0</v>
      </c>
      <c r="N75" s="258"/>
      <c r="O75" s="258"/>
      <c r="P75" s="258"/>
      <c r="Q75" s="258"/>
      <c r="R75" s="258"/>
    </row>
    <row r="76" spans="1:18" ht="14.15" customHeight="1" x14ac:dyDescent="0.3">
      <c r="A76" s="341" t="s">
        <v>153</v>
      </c>
      <c r="B76" s="373" t="s">
        <v>154</v>
      </c>
      <c r="C76" s="103" t="s">
        <v>108</v>
      </c>
      <c r="D76" s="1">
        <v>0</v>
      </c>
      <c r="E76" s="36">
        <v>634</v>
      </c>
      <c r="F76" s="41">
        <v>0.25</v>
      </c>
      <c r="G76" s="348">
        <f t="shared" si="0"/>
        <v>845.33333333333337</v>
      </c>
      <c r="H76" s="348">
        <v>25</v>
      </c>
      <c r="I76" s="83">
        <v>0.15</v>
      </c>
      <c r="J76" s="79">
        <f t="shared" si="1"/>
        <v>28.749999999999996</v>
      </c>
      <c r="K76" s="349">
        <f t="shared" si="2"/>
        <v>0</v>
      </c>
      <c r="L76" s="350">
        <f t="shared" si="3"/>
        <v>874.08333333333337</v>
      </c>
      <c r="M76" s="351">
        <f t="shared" si="4"/>
        <v>0</v>
      </c>
      <c r="N76" s="258"/>
      <c r="O76" s="258"/>
      <c r="P76" s="258"/>
      <c r="Q76" s="258"/>
      <c r="R76" s="258"/>
    </row>
    <row r="77" spans="1:18" ht="14.15" customHeight="1" x14ac:dyDescent="0.3">
      <c r="A77" s="341" t="s">
        <v>155</v>
      </c>
      <c r="B77" s="373" t="s">
        <v>156</v>
      </c>
      <c r="C77" s="96" t="s">
        <v>108</v>
      </c>
      <c r="D77" s="1">
        <v>0</v>
      </c>
      <c r="E77" s="36">
        <v>450</v>
      </c>
      <c r="F77" s="41">
        <v>0.25</v>
      </c>
      <c r="G77" s="348">
        <f t="shared" si="0"/>
        <v>600</v>
      </c>
      <c r="H77" s="348">
        <v>25</v>
      </c>
      <c r="I77" s="83">
        <v>0.15</v>
      </c>
      <c r="J77" s="79">
        <f t="shared" si="1"/>
        <v>28.749999999999996</v>
      </c>
      <c r="K77" s="349">
        <f t="shared" si="2"/>
        <v>0</v>
      </c>
      <c r="L77" s="350">
        <f t="shared" si="3"/>
        <v>628.75</v>
      </c>
      <c r="M77" s="351">
        <f t="shared" si="4"/>
        <v>0</v>
      </c>
      <c r="N77" s="258"/>
      <c r="O77" s="258"/>
      <c r="P77" s="258"/>
      <c r="Q77" s="258"/>
      <c r="R77" s="258"/>
    </row>
    <row r="78" spans="1:18" ht="14.15" customHeight="1" x14ac:dyDescent="0.3">
      <c r="A78" s="341" t="s">
        <v>157</v>
      </c>
      <c r="B78" s="373" t="s">
        <v>158</v>
      </c>
      <c r="C78" s="96" t="s">
        <v>108</v>
      </c>
      <c r="D78" s="1">
        <v>0</v>
      </c>
      <c r="E78" s="36">
        <v>380</v>
      </c>
      <c r="F78" s="41">
        <v>0.25</v>
      </c>
      <c r="G78" s="348">
        <f t="shared" si="0"/>
        <v>506.66666666666669</v>
      </c>
      <c r="H78" s="348">
        <v>25</v>
      </c>
      <c r="I78" s="83">
        <v>0.15</v>
      </c>
      <c r="J78" s="79">
        <f t="shared" si="1"/>
        <v>28.749999999999996</v>
      </c>
      <c r="K78" s="349">
        <f t="shared" si="2"/>
        <v>0</v>
      </c>
      <c r="L78" s="350">
        <f t="shared" si="3"/>
        <v>535.41666666666663</v>
      </c>
      <c r="M78" s="351">
        <f t="shared" si="4"/>
        <v>0</v>
      </c>
      <c r="N78" s="258"/>
      <c r="O78" s="258"/>
      <c r="P78" s="258"/>
      <c r="Q78" s="258"/>
      <c r="R78" s="258"/>
    </row>
    <row r="79" spans="1:18" ht="14.5" customHeight="1" thickBot="1" x14ac:dyDescent="0.35">
      <c r="A79" s="381" t="s">
        <v>159</v>
      </c>
      <c r="B79" s="375" t="s">
        <v>160</v>
      </c>
      <c r="C79" s="99" t="s">
        <v>108</v>
      </c>
      <c r="D79" s="50">
        <v>0</v>
      </c>
      <c r="E79" s="51">
        <f>215</f>
        <v>215</v>
      </c>
      <c r="F79" s="52">
        <v>0.25</v>
      </c>
      <c r="G79" s="376">
        <f t="shared" si="0"/>
        <v>286.66666666666669</v>
      </c>
      <c r="H79" s="376">
        <v>25</v>
      </c>
      <c r="I79" s="83">
        <v>0.15</v>
      </c>
      <c r="J79" s="79">
        <f t="shared" si="1"/>
        <v>28.749999999999996</v>
      </c>
      <c r="K79" s="349">
        <f t="shared" si="2"/>
        <v>0</v>
      </c>
      <c r="L79" s="350">
        <f t="shared" si="3"/>
        <v>315.41666666666669</v>
      </c>
      <c r="M79" s="378">
        <f t="shared" si="4"/>
        <v>0</v>
      </c>
      <c r="N79" s="258"/>
      <c r="O79" s="258"/>
      <c r="P79" s="258"/>
      <c r="Q79" s="258"/>
      <c r="R79" s="258"/>
    </row>
    <row r="80" spans="1:18" ht="14.5" customHeight="1" thickBot="1" x14ac:dyDescent="0.35">
      <c r="A80" s="397"/>
      <c r="B80" s="398"/>
      <c r="C80" s="97"/>
      <c r="D80" s="72"/>
      <c r="E80" s="73"/>
      <c r="F80" s="74"/>
      <c r="G80" s="356"/>
      <c r="H80" s="356"/>
      <c r="I80" s="73"/>
      <c r="J80" s="73"/>
      <c r="K80" s="357"/>
      <c r="L80" s="358"/>
      <c r="M80" s="358"/>
      <c r="N80" s="258"/>
      <c r="O80" s="258"/>
      <c r="P80" s="258"/>
      <c r="Q80" s="258"/>
      <c r="R80" s="258"/>
    </row>
    <row r="81" spans="1:18" ht="14.15" customHeight="1" x14ac:dyDescent="0.3">
      <c r="A81" s="359">
        <v>2.12</v>
      </c>
      <c r="B81" s="399"/>
      <c r="C81" s="100"/>
      <c r="D81" s="58" t="s">
        <v>161</v>
      </c>
      <c r="E81" s="56"/>
      <c r="F81" s="57"/>
      <c r="G81" s="361"/>
      <c r="H81" s="361"/>
      <c r="I81" s="56"/>
      <c r="J81" s="56"/>
      <c r="K81" s="362"/>
      <c r="L81" s="363"/>
      <c r="M81" s="363"/>
      <c r="N81" s="258"/>
      <c r="O81" s="258"/>
      <c r="P81" s="258"/>
      <c r="Q81" s="258"/>
      <c r="R81" s="258"/>
    </row>
    <row r="82" spans="1:18" ht="14.15" customHeight="1" x14ac:dyDescent="0.3">
      <c r="A82" s="341"/>
      <c r="B82" s="368"/>
      <c r="C82" s="96"/>
      <c r="D82" s="1"/>
      <c r="E82" s="36"/>
      <c r="F82" s="41"/>
      <c r="G82" s="348"/>
      <c r="H82" s="348"/>
      <c r="I82" s="79"/>
      <c r="J82" s="79"/>
      <c r="K82" s="349"/>
      <c r="L82" s="350"/>
      <c r="M82" s="351"/>
      <c r="N82" s="258"/>
      <c r="O82" s="258"/>
      <c r="P82" s="258"/>
      <c r="Q82" s="258"/>
      <c r="R82" s="258"/>
    </row>
    <row r="83" spans="1:18" ht="14.15" customHeight="1" x14ac:dyDescent="0.3">
      <c r="A83" s="341" t="s">
        <v>162</v>
      </c>
      <c r="B83" s="373" t="s">
        <v>163</v>
      </c>
      <c r="C83" s="96" t="s">
        <v>108</v>
      </c>
      <c r="D83" s="1">
        <v>8</v>
      </c>
      <c r="E83" s="36">
        <v>109.45</v>
      </c>
      <c r="F83" s="41">
        <v>0.2</v>
      </c>
      <c r="G83" s="348">
        <f>E83/(1-F83)</f>
        <v>136.8125</v>
      </c>
      <c r="H83" s="348">
        <v>50</v>
      </c>
      <c r="I83" s="83">
        <v>0.15</v>
      </c>
      <c r="J83" s="79">
        <f>H83*(1+I83)</f>
        <v>57.499999999999993</v>
      </c>
      <c r="K83" s="349">
        <f>J83*D83</f>
        <v>459.99999999999994</v>
      </c>
      <c r="L83" s="350">
        <f>G83+J83</f>
        <v>194.3125</v>
      </c>
      <c r="M83" s="351">
        <f>D83*L83</f>
        <v>1554.5</v>
      </c>
      <c r="N83" s="258"/>
      <c r="O83" s="258"/>
      <c r="P83" s="258"/>
      <c r="Q83" s="258"/>
      <c r="R83" s="258"/>
    </row>
    <row r="84" spans="1:18" ht="14.15" customHeight="1" x14ac:dyDescent="0.3">
      <c r="A84" s="341"/>
      <c r="B84" s="373" t="s">
        <v>164</v>
      </c>
      <c r="C84" s="96" t="s">
        <v>108</v>
      </c>
      <c r="D84" s="1">
        <v>0</v>
      </c>
      <c r="E84" s="36">
        <v>70.599999999999994</v>
      </c>
      <c r="F84" s="41">
        <v>0.2</v>
      </c>
      <c r="G84" s="348">
        <f>E84/(1-F84)</f>
        <v>88.249999999999986</v>
      </c>
      <c r="H84" s="348">
        <v>50</v>
      </c>
      <c r="I84" s="83">
        <v>0.15</v>
      </c>
      <c r="J84" s="79">
        <f>H84*(1+I84)</f>
        <v>57.499999999999993</v>
      </c>
      <c r="K84" s="349">
        <f>J84*D84</f>
        <v>0</v>
      </c>
      <c r="L84" s="350">
        <f>G84+J84</f>
        <v>145.74999999999997</v>
      </c>
      <c r="M84" s="351">
        <f>D84*L84</f>
        <v>0</v>
      </c>
      <c r="N84" s="258"/>
      <c r="O84" s="258"/>
      <c r="P84" s="258"/>
      <c r="Q84" s="258"/>
      <c r="R84" s="258"/>
    </row>
    <row r="85" spans="1:18" ht="14.5" customHeight="1" thickBot="1" x14ac:dyDescent="0.35">
      <c r="A85" s="381"/>
      <c r="B85" s="375" t="s">
        <v>165</v>
      </c>
      <c r="C85" s="99" t="s">
        <v>108</v>
      </c>
      <c r="D85" s="50">
        <v>0</v>
      </c>
      <c r="E85" s="51">
        <v>22.91</v>
      </c>
      <c r="F85" s="52">
        <v>0.2</v>
      </c>
      <c r="G85" s="376">
        <f>E85/(1-F85)</f>
        <v>28.637499999999999</v>
      </c>
      <c r="H85" s="376">
        <v>50</v>
      </c>
      <c r="I85" s="83">
        <v>0.15</v>
      </c>
      <c r="J85" s="79">
        <f>H85*(1+I85)</f>
        <v>57.499999999999993</v>
      </c>
      <c r="K85" s="349">
        <f>J85*D85</f>
        <v>0</v>
      </c>
      <c r="L85" s="350">
        <f>G85+J85</f>
        <v>86.137499999999989</v>
      </c>
      <c r="M85" s="378">
        <f>D85*L85</f>
        <v>0</v>
      </c>
      <c r="N85" s="258"/>
      <c r="O85" s="258"/>
      <c r="P85" s="258"/>
      <c r="Q85" s="258"/>
      <c r="R85" s="258"/>
    </row>
    <row r="86" spans="1:18" ht="14.5" customHeight="1" thickBot="1" x14ac:dyDescent="0.35">
      <c r="A86" s="397"/>
      <c r="B86" s="398"/>
      <c r="C86" s="97"/>
      <c r="D86" s="72"/>
      <c r="E86" s="73"/>
      <c r="F86" s="74"/>
      <c r="G86" s="356"/>
      <c r="H86" s="356"/>
      <c r="I86" s="73"/>
      <c r="J86" s="73"/>
      <c r="K86" s="357"/>
      <c r="L86" s="358"/>
      <c r="M86" s="358"/>
      <c r="N86" s="258"/>
      <c r="O86" s="258"/>
      <c r="P86" s="258"/>
      <c r="Q86" s="258"/>
      <c r="R86" s="258"/>
    </row>
    <row r="87" spans="1:18" ht="14.15" customHeight="1" x14ac:dyDescent="0.3">
      <c r="A87" s="359">
        <v>2.13</v>
      </c>
      <c r="B87" s="399"/>
      <c r="C87" s="100"/>
      <c r="D87" s="58" t="s">
        <v>166</v>
      </c>
      <c r="E87" s="56"/>
      <c r="F87" s="57"/>
      <c r="G87" s="361"/>
      <c r="H87" s="361"/>
      <c r="I87" s="56"/>
      <c r="J87" s="56"/>
      <c r="K87" s="362"/>
      <c r="L87" s="363"/>
      <c r="M87" s="363"/>
      <c r="N87" s="258"/>
      <c r="O87" s="258"/>
      <c r="P87" s="258"/>
      <c r="Q87" s="258"/>
      <c r="R87" s="258"/>
    </row>
    <row r="88" spans="1:18" ht="14.15" customHeight="1" x14ac:dyDescent="0.3">
      <c r="A88" s="341"/>
      <c r="B88" s="368"/>
      <c r="C88" s="96"/>
      <c r="D88" s="1"/>
      <c r="E88" s="36"/>
      <c r="F88" s="41"/>
      <c r="G88" s="348"/>
      <c r="H88" s="348"/>
      <c r="I88" s="79"/>
      <c r="J88" s="79"/>
      <c r="K88" s="349"/>
      <c r="L88" s="350"/>
      <c r="M88" s="351"/>
      <c r="N88" s="258"/>
      <c r="O88" s="258"/>
      <c r="P88" s="258"/>
      <c r="Q88" s="258"/>
      <c r="R88" s="258"/>
    </row>
    <row r="89" spans="1:18" ht="14.15" customHeight="1" x14ac:dyDescent="0.3">
      <c r="A89" s="341" t="s">
        <v>167</v>
      </c>
      <c r="B89" s="373" t="s">
        <v>168</v>
      </c>
      <c r="C89" s="96" t="s">
        <v>108</v>
      </c>
      <c r="D89" s="1">
        <v>0</v>
      </c>
      <c r="E89" s="36">
        <v>25</v>
      </c>
      <c r="F89" s="41">
        <v>0.2</v>
      </c>
      <c r="G89" s="348">
        <f>E89/(1-F89)</f>
        <v>31.25</v>
      </c>
      <c r="H89" s="348"/>
      <c r="I89" s="83">
        <v>0.15</v>
      </c>
      <c r="J89" s="79">
        <f>H89*(1+I89)</f>
        <v>0</v>
      </c>
      <c r="K89" s="349">
        <f>J89*D89</f>
        <v>0</v>
      </c>
      <c r="L89" s="350">
        <f>G89+J89</f>
        <v>31.25</v>
      </c>
      <c r="M89" s="351">
        <f>D89*L89</f>
        <v>0</v>
      </c>
      <c r="N89" s="258"/>
      <c r="O89" s="318"/>
      <c r="P89" s="258"/>
      <c r="Q89" s="258"/>
      <c r="R89" s="258"/>
    </row>
    <row r="90" spans="1:18" ht="14.15" customHeight="1" x14ac:dyDescent="0.3">
      <c r="A90" s="341" t="s">
        <v>169</v>
      </c>
      <c r="B90" s="373" t="s">
        <v>170</v>
      </c>
      <c r="C90" s="96" t="s">
        <v>108</v>
      </c>
      <c r="D90" s="1">
        <v>0</v>
      </c>
      <c r="E90" s="36">
        <v>33</v>
      </c>
      <c r="F90" s="41">
        <v>0.2</v>
      </c>
      <c r="G90" s="348">
        <f>E90/(1-F90)</f>
        <v>41.25</v>
      </c>
      <c r="H90" s="348"/>
      <c r="I90" s="83">
        <v>0.15</v>
      </c>
      <c r="J90" s="79">
        <f>H90*(1+I90)</f>
        <v>0</v>
      </c>
      <c r="K90" s="349">
        <f>J90*D90</f>
        <v>0</v>
      </c>
      <c r="L90" s="350">
        <f>G90+J90</f>
        <v>41.25</v>
      </c>
      <c r="M90" s="351">
        <f>D90*L90</f>
        <v>0</v>
      </c>
      <c r="N90" s="258"/>
      <c r="O90" s="318"/>
      <c r="P90" s="258"/>
      <c r="Q90" s="258"/>
      <c r="R90" s="258"/>
    </row>
    <row r="91" spans="1:18" ht="14.5" customHeight="1" thickBot="1" x14ac:dyDescent="0.35">
      <c r="A91" s="341" t="s">
        <v>171</v>
      </c>
      <c r="B91" s="401" t="s">
        <v>172</v>
      </c>
      <c r="C91" s="96" t="s">
        <v>108</v>
      </c>
      <c r="D91" s="1">
        <v>0</v>
      </c>
      <c r="E91" s="36">
        <v>37</v>
      </c>
      <c r="F91" s="41">
        <v>0.2</v>
      </c>
      <c r="G91" s="348">
        <f>E91/(1-F91)</f>
        <v>46.25</v>
      </c>
      <c r="H91" s="348"/>
      <c r="I91" s="83">
        <v>0.15</v>
      </c>
      <c r="J91" s="79">
        <f>H91*(1+I91)</f>
        <v>0</v>
      </c>
      <c r="K91" s="349">
        <f>J91*D91</f>
        <v>0</v>
      </c>
      <c r="L91" s="350">
        <f>G91+J91</f>
        <v>46.25</v>
      </c>
      <c r="M91" s="351">
        <f>D91*L91</f>
        <v>0</v>
      </c>
      <c r="N91" s="258"/>
      <c r="O91" s="318"/>
      <c r="P91" s="258"/>
      <c r="Q91" s="258"/>
      <c r="R91" s="258"/>
    </row>
    <row r="92" spans="1:18" ht="14.5" customHeight="1" thickBot="1" x14ac:dyDescent="0.35">
      <c r="A92" s="397"/>
      <c r="B92" s="398"/>
      <c r="C92" s="97"/>
      <c r="D92" s="72"/>
      <c r="E92" s="73"/>
      <c r="F92" s="74"/>
      <c r="G92" s="356"/>
      <c r="H92" s="356"/>
      <c r="I92" s="73"/>
      <c r="J92" s="73"/>
      <c r="K92" s="357"/>
      <c r="L92" s="358"/>
      <c r="M92" s="358"/>
      <c r="N92" s="258"/>
      <c r="O92" s="258"/>
      <c r="P92" s="258"/>
      <c r="Q92" s="258"/>
      <c r="R92" s="258"/>
    </row>
    <row r="93" spans="1:18" s="297" customFormat="1" ht="14.15" customHeight="1" x14ac:dyDescent="0.3">
      <c r="A93" s="402">
        <v>2.14</v>
      </c>
      <c r="B93" s="403"/>
      <c r="C93" s="98"/>
      <c r="D93" s="65" t="s">
        <v>173</v>
      </c>
      <c r="E93" s="53"/>
      <c r="F93" s="54"/>
      <c r="G93" s="391"/>
      <c r="H93" s="391"/>
      <c r="I93" s="53"/>
      <c r="J93" s="53"/>
      <c r="K93" s="392"/>
      <c r="L93" s="393"/>
      <c r="M93" s="393"/>
      <c r="N93" s="258"/>
      <c r="O93" s="258"/>
      <c r="P93" s="258"/>
      <c r="Q93" s="258"/>
      <c r="R93" s="258"/>
    </row>
    <row r="94" spans="1:18" s="297" customFormat="1" ht="14.15" customHeight="1" x14ac:dyDescent="0.3">
      <c r="A94" s="341"/>
      <c r="B94" s="368"/>
      <c r="C94" s="96"/>
      <c r="D94" s="1"/>
      <c r="E94" s="36"/>
      <c r="F94" s="41"/>
      <c r="G94" s="348"/>
      <c r="H94" s="348"/>
      <c r="I94" s="79"/>
      <c r="J94" s="79"/>
      <c r="K94" s="349"/>
      <c r="L94" s="350"/>
      <c r="M94" s="351"/>
      <c r="N94" s="258"/>
      <c r="O94" s="258"/>
      <c r="P94" s="258"/>
      <c r="Q94" s="258"/>
      <c r="R94" s="258"/>
    </row>
    <row r="95" spans="1:18" s="297" customFormat="1" ht="28" customHeight="1" x14ac:dyDescent="0.3">
      <c r="A95" s="341"/>
      <c r="B95" s="373" t="s">
        <v>174</v>
      </c>
      <c r="C95" s="96"/>
      <c r="D95" s="1"/>
      <c r="E95" s="36"/>
      <c r="F95" s="41"/>
      <c r="G95" s="348"/>
      <c r="H95" s="348"/>
      <c r="I95" s="79"/>
      <c r="J95" s="79"/>
      <c r="K95" s="349"/>
      <c r="L95" s="350"/>
      <c r="M95" s="351"/>
      <c r="N95" s="258"/>
      <c r="O95" s="258"/>
      <c r="P95" s="258"/>
      <c r="Q95" s="258"/>
      <c r="R95" s="258"/>
    </row>
    <row r="96" spans="1:18" s="297" customFormat="1" ht="14.15" customHeight="1" x14ac:dyDescent="0.3">
      <c r="A96" s="384"/>
      <c r="B96" s="373"/>
      <c r="C96" s="96"/>
      <c r="D96" s="1"/>
      <c r="E96" s="36"/>
      <c r="F96" s="41"/>
      <c r="G96" s="348"/>
      <c r="H96" s="348"/>
      <c r="I96" s="79"/>
      <c r="J96" s="79"/>
      <c r="K96" s="349"/>
      <c r="L96" s="350"/>
      <c r="M96" s="351"/>
      <c r="N96" s="258"/>
      <c r="O96" s="258"/>
      <c r="P96" s="258"/>
      <c r="Q96" s="258"/>
      <c r="R96" s="258"/>
    </row>
    <row r="97" spans="1:18" s="297" customFormat="1" ht="14.15" customHeight="1" x14ac:dyDescent="0.3">
      <c r="A97" s="341" t="s">
        <v>175</v>
      </c>
      <c r="B97" s="373" t="s">
        <v>150</v>
      </c>
      <c r="C97" s="96" t="s">
        <v>85</v>
      </c>
      <c r="D97" s="1">
        <v>6</v>
      </c>
      <c r="E97" s="36">
        <f>752.54*1.1</f>
        <v>827.79399999999998</v>
      </c>
      <c r="F97" s="41">
        <v>0.2</v>
      </c>
      <c r="G97" s="348">
        <f t="shared" ref="G97:G107" si="5">E97/(1-F97)</f>
        <v>1034.7424999999998</v>
      </c>
      <c r="H97" s="348">
        <f>(250+100)*1.5</f>
        <v>525</v>
      </c>
      <c r="I97" s="83">
        <v>0.15</v>
      </c>
      <c r="J97" s="79">
        <f t="shared" ref="J97:J107" si="6">H97*(1+I97)</f>
        <v>603.75</v>
      </c>
      <c r="K97" s="349">
        <f t="shared" ref="K97:K107" si="7">J97*D97</f>
        <v>3622.5</v>
      </c>
      <c r="L97" s="350">
        <f t="shared" ref="L97:L107" si="8">G97+J97</f>
        <v>1638.4924999999998</v>
      </c>
      <c r="M97" s="351">
        <f t="shared" ref="M97:M107" si="9">D97*L97</f>
        <v>9830.9549999999981</v>
      </c>
      <c r="N97" s="258"/>
      <c r="O97" s="258"/>
      <c r="P97" s="258"/>
      <c r="Q97" s="258"/>
      <c r="R97" s="258"/>
    </row>
    <row r="98" spans="1:18" s="297" customFormat="1" ht="14.15" customHeight="1" x14ac:dyDescent="0.3">
      <c r="A98" s="341" t="s">
        <v>176</v>
      </c>
      <c r="B98" s="373" t="s">
        <v>177</v>
      </c>
      <c r="C98" s="96" t="s">
        <v>85</v>
      </c>
      <c r="D98" s="1">
        <v>0</v>
      </c>
      <c r="E98" s="36">
        <f>350*1.1</f>
        <v>385.00000000000006</v>
      </c>
      <c r="F98" s="41">
        <v>0.2</v>
      </c>
      <c r="G98" s="348">
        <f t="shared" si="5"/>
        <v>481.25000000000006</v>
      </c>
      <c r="H98" s="348">
        <f>(250+100)*1.5</f>
        <v>525</v>
      </c>
      <c r="I98" s="83">
        <v>0.15</v>
      </c>
      <c r="J98" s="79">
        <f t="shared" si="6"/>
        <v>603.75</v>
      </c>
      <c r="K98" s="349">
        <f t="shared" si="7"/>
        <v>0</v>
      </c>
      <c r="L98" s="350">
        <f t="shared" si="8"/>
        <v>1085</v>
      </c>
      <c r="M98" s="351">
        <f t="shared" si="9"/>
        <v>0</v>
      </c>
      <c r="N98" s="258"/>
      <c r="O98" s="258"/>
      <c r="P98" s="258"/>
      <c r="Q98" s="258"/>
      <c r="R98" s="258"/>
    </row>
    <row r="99" spans="1:18" s="297" customFormat="1" ht="14.15" customHeight="1" x14ac:dyDescent="0.3">
      <c r="A99" s="341" t="s">
        <v>178</v>
      </c>
      <c r="B99" s="373" t="s">
        <v>152</v>
      </c>
      <c r="C99" s="96" t="s">
        <v>85</v>
      </c>
      <c r="D99" s="1">
        <v>0</v>
      </c>
      <c r="E99" s="36">
        <v>550</v>
      </c>
      <c r="F99" s="41">
        <v>0.2</v>
      </c>
      <c r="G99" s="348">
        <f t="shared" si="5"/>
        <v>687.5</v>
      </c>
      <c r="H99" s="348">
        <f>(250+100)*1.5</f>
        <v>525</v>
      </c>
      <c r="I99" s="83">
        <v>0.15</v>
      </c>
      <c r="J99" s="79">
        <f t="shared" si="6"/>
        <v>603.75</v>
      </c>
      <c r="K99" s="349">
        <f t="shared" si="7"/>
        <v>0</v>
      </c>
      <c r="L99" s="350">
        <f t="shared" si="8"/>
        <v>1291.25</v>
      </c>
      <c r="M99" s="351">
        <f t="shared" si="9"/>
        <v>0</v>
      </c>
      <c r="N99" s="258"/>
      <c r="O99" s="258"/>
      <c r="P99" s="258"/>
      <c r="Q99" s="258"/>
      <c r="R99" s="258"/>
    </row>
    <row r="100" spans="1:18" s="297" customFormat="1" ht="14.15" customHeight="1" x14ac:dyDescent="0.3">
      <c r="A100" s="341" t="s">
        <v>179</v>
      </c>
      <c r="B100" s="373" t="s">
        <v>154</v>
      </c>
      <c r="C100" s="96" t="s">
        <v>85</v>
      </c>
      <c r="D100" s="1">
        <v>0</v>
      </c>
      <c r="E100" s="36">
        <v>350</v>
      </c>
      <c r="F100" s="41">
        <v>0.2</v>
      </c>
      <c r="G100" s="348">
        <f t="shared" si="5"/>
        <v>437.5</v>
      </c>
      <c r="H100" s="348">
        <v>525</v>
      </c>
      <c r="I100" s="83">
        <v>0.15</v>
      </c>
      <c r="J100" s="79">
        <f t="shared" si="6"/>
        <v>603.75</v>
      </c>
      <c r="K100" s="349">
        <f t="shared" si="7"/>
        <v>0</v>
      </c>
      <c r="L100" s="350">
        <f t="shared" si="8"/>
        <v>1041.25</v>
      </c>
      <c r="M100" s="351">
        <f t="shared" si="9"/>
        <v>0</v>
      </c>
      <c r="N100" s="258"/>
      <c r="O100" s="258"/>
      <c r="P100" s="258"/>
      <c r="Q100" s="258"/>
      <c r="R100" s="258"/>
    </row>
    <row r="101" spans="1:18" s="297" customFormat="1" ht="14.5" customHeight="1" x14ac:dyDescent="0.3">
      <c r="A101" s="341" t="s">
        <v>180</v>
      </c>
      <c r="B101" s="373" t="s">
        <v>156</v>
      </c>
      <c r="C101" s="96" t="s">
        <v>85</v>
      </c>
      <c r="D101" s="1">
        <v>0</v>
      </c>
      <c r="E101" s="36"/>
      <c r="F101" s="41"/>
      <c r="G101" s="348">
        <f t="shared" si="5"/>
        <v>0</v>
      </c>
      <c r="H101" s="348">
        <v>525</v>
      </c>
      <c r="I101" s="83">
        <v>0.15</v>
      </c>
      <c r="J101" s="79">
        <f t="shared" si="6"/>
        <v>603.75</v>
      </c>
      <c r="K101" s="349">
        <f t="shared" si="7"/>
        <v>0</v>
      </c>
      <c r="L101" s="350">
        <f t="shared" si="8"/>
        <v>603.75</v>
      </c>
      <c r="M101" s="351">
        <f t="shared" si="9"/>
        <v>0</v>
      </c>
      <c r="N101" s="258"/>
      <c r="O101" s="258"/>
      <c r="P101" s="258"/>
      <c r="Q101" s="258"/>
      <c r="R101" s="258"/>
    </row>
    <row r="102" spans="1:18" s="297" customFormat="1" ht="14.15" customHeight="1" x14ac:dyDescent="0.3">
      <c r="A102" s="341" t="s">
        <v>181</v>
      </c>
      <c r="B102" s="373" t="s">
        <v>158</v>
      </c>
      <c r="C102" s="96" t="s">
        <v>85</v>
      </c>
      <c r="D102" s="1">
        <v>0</v>
      </c>
      <c r="E102" s="36">
        <v>350</v>
      </c>
      <c r="F102" s="41">
        <v>0.2</v>
      </c>
      <c r="G102" s="348">
        <f t="shared" si="5"/>
        <v>437.5</v>
      </c>
      <c r="H102" s="348">
        <v>525</v>
      </c>
      <c r="I102" s="83">
        <v>0.15</v>
      </c>
      <c r="J102" s="79">
        <f t="shared" si="6"/>
        <v>603.75</v>
      </c>
      <c r="K102" s="349">
        <f t="shared" si="7"/>
        <v>0</v>
      </c>
      <c r="L102" s="350">
        <f t="shared" si="8"/>
        <v>1041.25</v>
      </c>
      <c r="M102" s="351">
        <f t="shared" si="9"/>
        <v>0</v>
      </c>
      <c r="N102" s="258"/>
      <c r="O102" s="258"/>
      <c r="P102" s="258"/>
      <c r="Q102" s="258"/>
      <c r="R102" s="258"/>
    </row>
    <row r="103" spans="1:18" s="297" customFormat="1" ht="14.15" customHeight="1" x14ac:dyDescent="0.3">
      <c r="A103" s="341" t="s">
        <v>182</v>
      </c>
      <c r="B103" s="373" t="s">
        <v>160</v>
      </c>
      <c r="C103" s="96" t="s">
        <v>85</v>
      </c>
      <c r="D103" s="1">
        <v>0</v>
      </c>
      <c r="E103" s="36">
        <v>350</v>
      </c>
      <c r="F103" s="41">
        <v>0.2</v>
      </c>
      <c r="G103" s="348">
        <f t="shared" si="5"/>
        <v>437.5</v>
      </c>
      <c r="H103" s="348">
        <v>525</v>
      </c>
      <c r="I103" s="83">
        <v>0.15</v>
      </c>
      <c r="J103" s="79">
        <f t="shared" si="6"/>
        <v>603.75</v>
      </c>
      <c r="K103" s="349">
        <f t="shared" si="7"/>
        <v>0</v>
      </c>
      <c r="L103" s="350">
        <f t="shared" si="8"/>
        <v>1041.25</v>
      </c>
      <c r="M103" s="351">
        <f t="shared" si="9"/>
        <v>0</v>
      </c>
      <c r="N103" s="258"/>
      <c r="O103" s="258"/>
      <c r="P103" s="258"/>
      <c r="Q103" s="258"/>
      <c r="R103" s="258"/>
    </row>
    <row r="104" spans="1:18" s="297" customFormat="1" ht="14.15" customHeight="1" x14ac:dyDescent="0.3">
      <c r="A104" s="341" t="s">
        <v>183</v>
      </c>
      <c r="B104" s="373" t="s">
        <v>184</v>
      </c>
      <c r="C104" s="96" t="s">
        <v>85</v>
      </c>
      <c r="D104" s="1">
        <v>4</v>
      </c>
      <c r="E104" s="36"/>
      <c r="F104" s="41"/>
      <c r="G104" s="348">
        <f t="shared" si="5"/>
        <v>0</v>
      </c>
      <c r="H104" s="348">
        <v>525</v>
      </c>
      <c r="I104" s="83">
        <v>0.15</v>
      </c>
      <c r="J104" s="79">
        <f t="shared" si="6"/>
        <v>603.75</v>
      </c>
      <c r="K104" s="349">
        <f t="shared" si="7"/>
        <v>2415</v>
      </c>
      <c r="L104" s="350">
        <f t="shared" si="8"/>
        <v>603.75</v>
      </c>
      <c r="M104" s="351">
        <f t="shared" si="9"/>
        <v>2415</v>
      </c>
      <c r="N104" s="258"/>
      <c r="O104" s="258"/>
      <c r="P104" s="258"/>
      <c r="Q104" s="258"/>
      <c r="R104" s="258"/>
    </row>
    <row r="105" spans="1:18" s="297" customFormat="1" ht="14.15" customHeight="1" x14ac:dyDescent="0.3">
      <c r="A105" s="341" t="s">
        <v>185</v>
      </c>
      <c r="B105" s="373" t="s">
        <v>186</v>
      </c>
      <c r="C105" s="96" t="s">
        <v>85</v>
      </c>
      <c r="D105" s="1">
        <v>0</v>
      </c>
      <c r="E105" s="36">
        <v>250</v>
      </c>
      <c r="F105" s="41">
        <v>0.2</v>
      </c>
      <c r="G105" s="348">
        <f t="shared" si="5"/>
        <v>312.5</v>
      </c>
      <c r="H105" s="348">
        <v>525</v>
      </c>
      <c r="I105" s="83">
        <v>0.15</v>
      </c>
      <c r="J105" s="79">
        <f t="shared" si="6"/>
        <v>603.75</v>
      </c>
      <c r="K105" s="349">
        <f t="shared" si="7"/>
        <v>0</v>
      </c>
      <c r="L105" s="350">
        <f t="shared" si="8"/>
        <v>916.25</v>
      </c>
      <c r="M105" s="351">
        <f t="shared" si="9"/>
        <v>0</v>
      </c>
      <c r="N105" s="258"/>
      <c r="O105" s="258"/>
      <c r="P105" s="258"/>
      <c r="Q105" s="258"/>
      <c r="R105" s="258"/>
    </row>
    <row r="106" spans="1:18" s="297" customFormat="1" ht="14.15" customHeight="1" x14ac:dyDescent="0.3">
      <c r="A106" s="341" t="s">
        <v>187</v>
      </c>
      <c r="B106" s="373" t="s">
        <v>188</v>
      </c>
      <c r="C106" s="96" t="s">
        <v>85</v>
      </c>
      <c r="D106" s="1">
        <v>0</v>
      </c>
      <c r="E106" s="36">
        <v>500</v>
      </c>
      <c r="F106" s="41">
        <v>0.2</v>
      </c>
      <c r="G106" s="348">
        <f t="shared" si="5"/>
        <v>625</v>
      </c>
      <c r="H106" s="348">
        <v>525</v>
      </c>
      <c r="I106" s="83">
        <v>0.15</v>
      </c>
      <c r="J106" s="79">
        <f t="shared" si="6"/>
        <v>603.75</v>
      </c>
      <c r="K106" s="349">
        <f t="shared" si="7"/>
        <v>0</v>
      </c>
      <c r="L106" s="350">
        <f t="shared" si="8"/>
        <v>1228.75</v>
      </c>
      <c r="M106" s="351">
        <f t="shared" si="9"/>
        <v>0</v>
      </c>
      <c r="N106" s="258"/>
      <c r="O106" s="258"/>
      <c r="P106" s="258"/>
      <c r="Q106" s="258"/>
      <c r="R106" s="258"/>
    </row>
    <row r="107" spans="1:18" s="297" customFormat="1" ht="14.5" customHeight="1" thickBot="1" x14ac:dyDescent="0.35">
      <c r="A107" s="381" t="s">
        <v>189</v>
      </c>
      <c r="B107" s="375" t="s">
        <v>190</v>
      </c>
      <c r="C107" s="99" t="s">
        <v>85</v>
      </c>
      <c r="D107" s="50">
        <v>0</v>
      </c>
      <c r="E107" s="51">
        <v>500</v>
      </c>
      <c r="F107" s="52">
        <v>0.2</v>
      </c>
      <c r="G107" s="376">
        <f t="shared" si="5"/>
        <v>625</v>
      </c>
      <c r="H107" s="376">
        <v>525</v>
      </c>
      <c r="I107" s="84">
        <v>0.15</v>
      </c>
      <c r="J107" s="80">
        <f t="shared" si="6"/>
        <v>603.75</v>
      </c>
      <c r="K107" s="382">
        <f t="shared" si="7"/>
        <v>0</v>
      </c>
      <c r="L107" s="350">
        <f t="shared" si="8"/>
        <v>1228.75</v>
      </c>
      <c r="M107" s="378">
        <f t="shared" si="9"/>
        <v>0</v>
      </c>
      <c r="N107" s="258"/>
      <c r="O107" s="258"/>
      <c r="P107" s="258"/>
      <c r="Q107" s="258"/>
      <c r="R107" s="258"/>
    </row>
    <row r="108" spans="1:18" s="297" customFormat="1" ht="14.5" customHeight="1" thickBot="1" x14ac:dyDescent="0.35">
      <c r="A108" s="404"/>
      <c r="B108" s="405"/>
      <c r="C108" s="96"/>
      <c r="D108" s="1"/>
      <c r="E108" s="36"/>
      <c r="F108" s="41"/>
      <c r="G108" s="348"/>
      <c r="H108" s="348"/>
      <c r="I108" s="79"/>
      <c r="J108" s="79"/>
      <c r="K108" s="406"/>
      <c r="L108" s="350"/>
      <c r="M108" s="351"/>
      <c r="N108" s="258"/>
      <c r="O108" s="258"/>
      <c r="P108" s="258"/>
      <c r="Q108" s="258"/>
      <c r="R108" s="258"/>
    </row>
    <row r="109" spans="1:18" ht="14.15" customHeight="1" x14ac:dyDescent="0.3">
      <c r="A109" s="359">
        <v>2.15</v>
      </c>
      <c r="B109" s="399"/>
      <c r="C109" s="100"/>
      <c r="D109" s="58" t="s">
        <v>191</v>
      </c>
      <c r="E109" s="56"/>
      <c r="F109" s="57"/>
      <c r="G109" s="361"/>
      <c r="H109" s="361"/>
      <c r="I109" s="56"/>
      <c r="J109" s="56"/>
      <c r="K109" s="362"/>
      <c r="L109" s="363"/>
      <c r="M109" s="363"/>
      <c r="N109" s="258"/>
      <c r="O109" s="258"/>
      <c r="P109" s="258"/>
      <c r="Q109" s="258"/>
      <c r="R109" s="258"/>
    </row>
    <row r="110" spans="1:18" ht="14.15" customHeight="1" x14ac:dyDescent="0.3">
      <c r="A110" s="341"/>
      <c r="B110" s="368"/>
      <c r="C110" s="96"/>
      <c r="D110" s="1"/>
      <c r="E110" s="36"/>
      <c r="F110" s="41"/>
      <c r="G110" s="348"/>
      <c r="H110" s="348"/>
      <c r="I110" s="79"/>
      <c r="J110" s="79"/>
      <c r="K110" s="349"/>
      <c r="L110" s="350"/>
      <c r="M110" s="351"/>
      <c r="N110" s="258"/>
      <c r="O110" s="258"/>
      <c r="P110" s="258"/>
      <c r="Q110" s="258"/>
      <c r="R110" s="258"/>
    </row>
    <row r="111" spans="1:18" ht="28" customHeight="1" x14ac:dyDescent="0.3">
      <c r="A111" s="341"/>
      <c r="B111" s="373" t="s">
        <v>192</v>
      </c>
      <c r="C111" s="96"/>
      <c r="D111" s="1"/>
      <c r="E111" s="36"/>
      <c r="F111" s="41"/>
      <c r="G111" s="348"/>
      <c r="H111" s="348"/>
      <c r="I111" s="79"/>
      <c r="J111" s="79"/>
      <c r="K111" s="349"/>
      <c r="L111" s="350"/>
      <c r="M111" s="351"/>
      <c r="N111" s="258"/>
      <c r="O111" s="258"/>
      <c r="P111" s="353"/>
      <c r="Q111" s="258"/>
      <c r="R111" s="258"/>
    </row>
    <row r="112" spans="1:18" ht="14.15" customHeight="1" x14ac:dyDescent="0.3">
      <c r="A112" s="384"/>
      <c r="B112" s="373"/>
      <c r="C112" s="96"/>
      <c r="D112" s="1"/>
      <c r="E112" s="36"/>
      <c r="F112" s="41"/>
      <c r="G112" s="348"/>
      <c r="H112" s="348"/>
      <c r="I112" s="79"/>
      <c r="J112" s="79"/>
      <c r="K112" s="349"/>
      <c r="L112" s="350"/>
      <c r="M112" s="351"/>
      <c r="N112" s="258"/>
      <c r="O112" s="258"/>
      <c r="P112" s="258"/>
      <c r="Q112" s="258"/>
      <c r="R112" s="258"/>
    </row>
    <row r="113" spans="1:18" ht="14.15" customHeight="1" x14ac:dyDescent="0.3">
      <c r="A113" s="341" t="s">
        <v>193</v>
      </c>
      <c r="B113" s="373" t="s">
        <v>194</v>
      </c>
      <c r="C113" s="96" t="s">
        <v>85</v>
      </c>
      <c r="D113" s="1">
        <v>0</v>
      </c>
      <c r="E113" s="36">
        <f>132*(15+10+10)</f>
        <v>4620</v>
      </c>
      <c r="F113" s="41">
        <v>0.2</v>
      </c>
      <c r="G113" s="348">
        <f>E113/(1-F113)</f>
        <v>5775</v>
      </c>
      <c r="H113" s="348">
        <f>9*(15+10+10)</f>
        <v>315</v>
      </c>
      <c r="I113" s="83">
        <v>0.15</v>
      </c>
      <c r="J113" s="79">
        <f>H113*(1+I113)</f>
        <v>362.25</v>
      </c>
      <c r="K113" s="349">
        <f>J113*D113</f>
        <v>0</v>
      </c>
      <c r="L113" s="350">
        <f>G113+J113</f>
        <v>6137.25</v>
      </c>
      <c r="M113" s="351">
        <f>D113*L113</f>
        <v>0</v>
      </c>
      <c r="N113" s="258"/>
      <c r="O113" s="258"/>
      <c r="P113" s="258"/>
      <c r="Q113" s="258"/>
      <c r="R113" s="258"/>
    </row>
    <row r="114" spans="1:18" ht="14.5" customHeight="1" thickBot="1" x14ac:dyDescent="0.35">
      <c r="A114" s="381" t="s">
        <v>195</v>
      </c>
      <c r="B114" s="375" t="s">
        <v>196</v>
      </c>
      <c r="C114" s="99" t="s">
        <v>85</v>
      </c>
      <c r="D114" s="50">
        <v>18</v>
      </c>
      <c r="E114" s="51">
        <f>30</f>
        <v>30</v>
      </c>
      <c r="F114" s="52">
        <v>0.2</v>
      </c>
      <c r="G114" s="376">
        <f>E114/(1-F114)</f>
        <v>37.5</v>
      </c>
      <c r="H114" s="376">
        <f>15</f>
        <v>15</v>
      </c>
      <c r="I114" s="84">
        <v>0.15</v>
      </c>
      <c r="J114" s="80">
        <f>H114*(1+I114)</f>
        <v>17.25</v>
      </c>
      <c r="K114" s="382">
        <f>J114*D114</f>
        <v>310.5</v>
      </c>
      <c r="L114" s="407">
        <f>G114+J114</f>
        <v>54.75</v>
      </c>
      <c r="M114" s="378">
        <f>D114*L114</f>
        <v>985.5</v>
      </c>
      <c r="N114" s="258"/>
      <c r="O114" s="258"/>
      <c r="P114" s="258"/>
      <c r="Q114" s="258"/>
      <c r="R114" s="258"/>
    </row>
    <row r="115" spans="1:18" ht="14.5" customHeight="1" thickBot="1" x14ac:dyDescent="0.35">
      <c r="A115" s="258"/>
      <c r="B115" s="405"/>
      <c r="C115" s="96"/>
      <c r="D115" s="1"/>
      <c r="E115" s="36"/>
      <c r="F115" s="41"/>
      <c r="G115" s="348"/>
      <c r="H115" s="348"/>
      <c r="I115" s="79"/>
      <c r="J115" s="79"/>
      <c r="K115" s="406"/>
      <c r="L115" s="350"/>
      <c r="M115" s="351"/>
      <c r="N115" s="258"/>
      <c r="O115" s="258"/>
      <c r="P115" s="258"/>
      <c r="Q115" s="258"/>
      <c r="R115" s="258"/>
    </row>
    <row r="116" spans="1:18" ht="14.15" customHeight="1" x14ac:dyDescent="0.3">
      <c r="A116" s="359">
        <v>2.16</v>
      </c>
      <c r="B116" s="399"/>
      <c r="C116" s="100"/>
      <c r="D116" s="58" t="s">
        <v>197</v>
      </c>
      <c r="E116" s="56"/>
      <c r="F116" s="57"/>
      <c r="G116" s="361"/>
      <c r="H116" s="361"/>
      <c r="I116" s="56"/>
      <c r="J116" s="56"/>
      <c r="K116" s="362"/>
      <c r="L116" s="363"/>
      <c r="M116" s="363"/>
      <c r="N116" s="258"/>
      <c r="O116" s="258"/>
      <c r="P116" s="258"/>
      <c r="Q116" s="258"/>
      <c r="R116" s="258"/>
    </row>
    <row r="117" spans="1:18" ht="14.15" customHeight="1" x14ac:dyDescent="0.3">
      <c r="A117" s="341"/>
      <c r="B117" s="368"/>
      <c r="C117" s="96"/>
      <c r="D117" s="1"/>
      <c r="E117" s="36"/>
      <c r="F117" s="41"/>
      <c r="G117" s="348"/>
      <c r="H117" s="348"/>
      <c r="I117" s="79"/>
      <c r="J117" s="79"/>
      <c r="K117" s="349"/>
      <c r="L117" s="350"/>
      <c r="M117" s="351"/>
      <c r="N117" s="258"/>
      <c r="O117" s="258"/>
      <c r="P117" s="258"/>
      <c r="Q117" s="258"/>
      <c r="R117" s="258"/>
    </row>
    <row r="118" spans="1:18" ht="28.5" customHeight="1" thickBot="1" x14ac:dyDescent="0.35">
      <c r="A118" s="381" t="s">
        <v>198</v>
      </c>
      <c r="B118" s="375" t="s">
        <v>199</v>
      </c>
      <c r="C118" s="99" t="s">
        <v>108</v>
      </c>
      <c r="D118" s="50">
        <v>10</v>
      </c>
      <c r="E118" s="51">
        <v>5</v>
      </c>
      <c r="F118" s="52">
        <v>0.2</v>
      </c>
      <c r="G118" s="376">
        <f>E118/(1-F118)</f>
        <v>6.25</v>
      </c>
      <c r="H118" s="376">
        <f>(100*3)</f>
        <v>300</v>
      </c>
      <c r="I118" s="84">
        <v>0.15</v>
      </c>
      <c r="J118" s="80">
        <f>H118*(1+I118)</f>
        <v>345</v>
      </c>
      <c r="K118" s="382">
        <f>J118*D118</f>
        <v>3450</v>
      </c>
      <c r="L118" s="407">
        <f>G118+J118</f>
        <v>351.25</v>
      </c>
      <c r="M118" s="378">
        <f>D118*L118</f>
        <v>3512.5</v>
      </c>
      <c r="N118" s="258"/>
      <c r="O118" s="258"/>
      <c r="P118" s="258"/>
      <c r="Q118" s="258"/>
      <c r="R118" s="258"/>
    </row>
    <row r="119" spans="1:18" ht="13.4" customHeight="1" thickBot="1" x14ac:dyDescent="0.35">
      <c r="A119" s="404"/>
      <c r="B119" s="405"/>
      <c r="C119" s="96"/>
      <c r="D119" s="1"/>
      <c r="E119" s="36"/>
      <c r="F119" s="41"/>
      <c r="G119" s="348"/>
      <c r="H119" s="348"/>
      <c r="I119" s="79"/>
      <c r="J119" s="79"/>
      <c r="K119" s="406"/>
      <c r="L119" s="350"/>
      <c r="M119" s="351"/>
      <c r="N119" s="258"/>
      <c r="O119" s="258"/>
      <c r="P119" s="258"/>
      <c r="Q119" s="258"/>
      <c r="R119" s="258"/>
    </row>
    <row r="120" spans="1:18" ht="14.15" customHeight="1" x14ac:dyDescent="0.3">
      <c r="A120" s="359">
        <v>2.17</v>
      </c>
      <c r="B120" s="399"/>
      <c r="C120" s="100"/>
      <c r="D120" s="58" t="s">
        <v>200</v>
      </c>
      <c r="E120" s="56"/>
      <c r="F120" s="57"/>
      <c r="G120" s="361"/>
      <c r="H120" s="361"/>
      <c r="I120" s="56"/>
      <c r="J120" s="56"/>
      <c r="K120" s="362"/>
      <c r="L120" s="363"/>
      <c r="M120" s="363"/>
      <c r="N120" s="258"/>
      <c r="O120" s="258"/>
      <c r="P120" s="258"/>
      <c r="Q120" s="258"/>
      <c r="R120" s="258"/>
    </row>
    <row r="121" spans="1:18" ht="14.15" customHeight="1" x14ac:dyDescent="0.3">
      <c r="A121" s="341"/>
      <c r="B121" s="408"/>
      <c r="C121" s="96"/>
      <c r="D121" s="1"/>
      <c r="E121" s="36"/>
      <c r="F121" s="41"/>
      <c r="G121" s="348"/>
      <c r="H121" s="348"/>
      <c r="I121" s="79"/>
      <c r="J121" s="79"/>
      <c r="K121" s="349"/>
      <c r="L121" s="350"/>
      <c r="M121" s="351"/>
      <c r="N121" s="258"/>
      <c r="O121" s="258"/>
      <c r="P121" s="258"/>
      <c r="Q121" s="258"/>
      <c r="R121" s="258"/>
    </row>
    <row r="122" spans="1:18" ht="14.15" customHeight="1" x14ac:dyDescent="0.3">
      <c r="A122" s="341"/>
      <c r="B122" s="373" t="s">
        <v>201</v>
      </c>
      <c r="C122" s="96"/>
      <c r="D122" s="1"/>
      <c r="E122" s="36"/>
      <c r="F122" s="41"/>
      <c r="G122" s="348"/>
      <c r="H122" s="348"/>
      <c r="I122" s="79"/>
      <c r="J122" s="79"/>
      <c r="K122" s="349"/>
      <c r="L122" s="350"/>
      <c r="M122" s="351"/>
      <c r="N122" s="258"/>
      <c r="O122" s="258"/>
      <c r="P122" s="258"/>
      <c r="Q122" s="258"/>
      <c r="R122" s="258"/>
    </row>
    <row r="123" spans="1:18" ht="14.15" customHeight="1" x14ac:dyDescent="0.3">
      <c r="A123" s="384"/>
      <c r="B123" s="409"/>
      <c r="C123" s="96"/>
      <c r="D123" s="1"/>
      <c r="E123" s="36"/>
      <c r="F123" s="41"/>
      <c r="G123" s="348"/>
      <c r="H123" s="348"/>
      <c r="I123" s="79"/>
      <c r="J123" s="79"/>
      <c r="K123" s="349"/>
      <c r="L123" s="350"/>
      <c r="M123" s="351"/>
      <c r="N123" s="258"/>
      <c r="O123" s="258"/>
      <c r="P123" s="258"/>
      <c r="Q123" s="258"/>
      <c r="R123" s="258"/>
    </row>
    <row r="124" spans="1:18" ht="28" customHeight="1" x14ac:dyDescent="0.3">
      <c r="A124" s="341" t="s">
        <v>202</v>
      </c>
      <c r="B124" s="373" t="s">
        <v>203</v>
      </c>
      <c r="C124" s="96" t="s">
        <v>42</v>
      </c>
      <c r="D124" s="1">
        <v>0</v>
      </c>
      <c r="E124" s="36"/>
      <c r="F124" s="41">
        <v>0.2</v>
      </c>
      <c r="G124" s="348">
        <f>E124/(1-F124)</f>
        <v>0</v>
      </c>
      <c r="H124" s="348">
        <f>140*(20+60+200)</f>
        <v>39200</v>
      </c>
      <c r="I124" s="83">
        <v>0.15</v>
      </c>
      <c r="J124" s="79">
        <f>H124*(1+I124)</f>
        <v>45080</v>
      </c>
      <c r="K124" s="349">
        <f>J124*D124</f>
        <v>0</v>
      </c>
      <c r="L124" s="350">
        <f>G124+J124</f>
        <v>45080</v>
      </c>
      <c r="M124" s="351">
        <f>D124*L124</f>
        <v>0</v>
      </c>
      <c r="N124" s="258"/>
      <c r="O124" s="258"/>
      <c r="P124" s="258"/>
      <c r="Q124" s="258"/>
      <c r="R124" s="258"/>
    </row>
    <row r="125" spans="1:18" s="297" customFormat="1" ht="28" customHeight="1" x14ac:dyDescent="0.3">
      <c r="A125" s="341" t="s">
        <v>204</v>
      </c>
      <c r="B125" s="373" t="s">
        <v>205</v>
      </c>
      <c r="C125" s="96" t="s">
        <v>42</v>
      </c>
      <c r="D125" s="1">
        <v>0</v>
      </c>
      <c r="E125" s="36"/>
      <c r="F125" s="41">
        <v>0.2</v>
      </c>
      <c r="G125" s="348">
        <f>E125/(1-F125)</f>
        <v>0</v>
      </c>
      <c r="H125" s="348">
        <f>140*(20+60+200)</f>
        <v>39200</v>
      </c>
      <c r="I125" s="83">
        <v>0.15</v>
      </c>
      <c r="J125" s="79">
        <f>H125*(1+I125)</f>
        <v>45080</v>
      </c>
      <c r="K125" s="349">
        <f>J125*D125</f>
        <v>0</v>
      </c>
      <c r="L125" s="350">
        <f>G125+J125</f>
        <v>45080</v>
      </c>
      <c r="M125" s="351">
        <f>D125*L125</f>
        <v>0</v>
      </c>
      <c r="N125" s="258"/>
      <c r="O125" s="258"/>
      <c r="P125" s="258"/>
      <c r="Q125" s="258"/>
      <c r="R125" s="258"/>
    </row>
    <row r="126" spans="1:18" s="297" customFormat="1" ht="14.15" customHeight="1" x14ac:dyDescent="0.3">
      <c r="A126" s="341" t="s">
        <v>206</v>
      </c>
      <c r="B126" s="373" t="s">
        <v>207</v>
      </c>
      <c r="C126" s="96" t="s">
        <v>42</v>
      </c>
      <c r="D126" s="1">
        <v>0</v>
      </c>
      <c r="E126" s="36">
        <f>35*(50+50)</f>
        <v>3500</v>
      </c>
      <c r="F126" s="41">
        <v>0.2</v>
      </c>
      <c r="G126" s="348">
        <f>E126/(1-F126)</f>
        <v>4375</v>
      </c>
      <c r="H126" s="348">
        <f>5*(50+50+50)</f>
        <v>750</v>
      </c>
      <c r="I126" s="83">
        <v>0.15</v>
      </c>
      <c r="J126" s="79">
        <f>H126*(1+I126)</f>
        <v>862.49999999999989</v>
      </c>
      <c r="K126" s="349">
        <f>J126*D126</f>
        <v>0</v>
      </c>
      <c r="L126" s="350">
        <f>G126+J126</f>
        <v>5237.5</v>
      </c>
      <c r="M126" s="351">
        <f>D126*L126</f>
        <v>0</v>
      </c>
      <c r="N126" s="258"/>
      <c r="O126" s="258"/>
      <c r="P126" s="258"/>
      <c r="Q126" s="258"/>
      <c r="R126" s="258"/>
    </row>
    <row r="127" spans="1:18" s="297" customFormat="1" ht="14.5" customHeight="1" thickBot="1" x14ac:dyDescent="0.35">
      <c r="A127" s="381" t="s">
        <v>208</v>
      </c>
      <c r="B127" s="375" t="s">
        <v>209</v>
      </c>
      <c r="C127" s="99" t="s">
        <v>42</v>
      </c>
      <c r="D127" s="50">
        <v>0</v>
      </c>
      <c r="E127" s="51">
        <f>4500*3</f>
        <v>13500</v>
      </c>
      <c r="F127" s="52">
        <v>0.2</v>
      </c>
      <c r="G127" s="376">
        <f>E127/(1-F127)</f>
        <v>16875</v>
      </c>
      <c r="H127" s="376">
        <v>5</v>
      </c>
      <c r="I127" s="84">
        <v>0.15</v>
      </c>
      <c r="J127" s="80">
        <f>H127*(1+I127)</f>
        <v>5.75</v>
      </c>
      <c r="K127" s="382">
        <f>J127*D127</f>
        <v>0</v>
      </c>
      <c r="L127" s="407">
        <f>G127+J127</f>
        <v>16880.75</v>
      </c>
      <c r="M127" s="378">
        <f>D127*L127</f>
        <v>0</v>
      </c>
      <c r="N127" s="258"/>
      <c r="O127" s="258"/>
      <c r="P127" s="258"/>
      <c r="Q127" s="258"/>
      <c r="R127" s="258"/>
    </row>
    <row r="128" spans="1:18" s="297" customFormat="1" ht="14.5" customHeight="1" thickBot="1" x14ac:dyDescent="0.35">
      <c r="A128" s="404"/>
      <c r="B128" s="410"/>
      <c r="C128" s="28"/>
      <c r="D128" s="1"/>
      <c r="E128" s="36"/>
      <c r="F128" s="41"/>
      <c r="G128" s="348"/>
      <c r="H128" s="348"/>
      <c r="I128" s="79"/>
      <c r="J128" s="79"/>
      <c r="K128" s="406"/>
      <c r="L128" s="350"/>
      <c r="M128" s="351"/>
      <c r="N128" s="258"/>
      <c r="O128" s="258"/>
      <c r="P128" s="258"/>
      <c r="Q128" s="258"/>
      <c r="R128" s="258"/>
    </row>
    <row r="129" spans="1:18" s="297" customFormat="1" ht="14.15" customHeight="1" x14ac:dyDescent="0.3">
      <c r="A129" s="359">
        <v>2.1800000000000002</v>
      </c>
      <c r="B129" s="399"/>
      <c r="C129" s="100"/>
      <c r="D129" s="55" t="s">
        <v>210</v>
      </c>
      <c r="E129" s="56"/>
      <c r="F129" s="57"/>
      <c r="G129" s="361"/>
      <c r="H129" s="361"/>
      <c r="I129" s="56"/>
      <c r="J129" s="56"/>
      <c r="K129" s="362"/>
      <c r="L129" s="363"/>
      <c r="M129" s="363"/>
      <c r="N129" s="258"/>
      <c r="O129" s="258"/>
      <c r="P129" s="258"/>
      <c r="Q129" s="258"/>
      <c r="R129" s="258"/>
    </row>
    <row r="130" spans="1:18" s="297" customFormat="1" ht="14.15" customHeight="1" x14ac:dyDescent="0.3">
      <c r="A130" s="341"/>
      <c r="B130" s="408"/>
      <c r="C130" s="96"/>
      <c r="D130" s="1"/>
      <c r="E130" s="36"/>
      <c r="F130" s="41"/>
      <c r="G130" s="348"/>
      <c r="H130" s="348"/>
      <c r="I130" s="79"/>
      <c r="J130" s="79"/>
      <c r="K130" s="349"/>
      <c r="L130" s="350"/>
      <c r="M130" s="351"/>
      <c r="N130" s="258"/>
      <c r="O130" s="258"/>
      <c r="P130" s="258"/>
      <c r="Q130" s="258"/>
      <c r="R130" s="258"/>
    </row>
    <row r="131" spans="1:18" s="297" customFormat="1" ht="14.15" customHeight="1" x14ac:dyDescent="0.3">
      <c r="A131" s="341" t="s">
        <v>211</v>
      </c>
      <c r="B131" s="373" t="s">
        <v>212</v>
      </c>
      <c r="C131" s="96" t="s">
        <v>42</v>
      </c>
      <c r="D131" s="1">
        <v>0</v>
      </c>
      <c r="E131" s="36">
        <v>0</v>
      </c>
      <c r="F131" s="41">
        <v>0.2</v>
      </c>
      <c r="G131" s="348">
        <f>E131/(1-F131)</f>
        <v>0</v>
      </c>
      <c r="H131" s="348">
        <f>2500*3</f>
        <v>7500</v>
      </c>
      <c r="I131" s="79"/>
      <c r="J131" s="79"/>
      <c r="K131" s="349">
        <f>H131*D131</f>
        <v>0</v>
      </c>
      <c r="L131" s="350">
        <f>G131+J131</f>
        <v>0</v>
      </c>
      <c r="M131" s="351">
        <f>D131*L131</f>
        <v>0</v>
      </c>
      <c r="N131" s="258"/>
      <c r="O131" s="258"/>
      <c r="P131" s="258"/>
      <c r="Q131" s="258"/>
      <c r="R131" s="258"/>
    </row>
    <row r="132" spans="1:18" s="297" customFormat="1" ht="14.5" customHeight="1" thickBot="1" x14ac:dyDescent="0.35">
      <c r="A132" s="381"/>
      <c r="B132" s="411"/>
      <c r="C132" s="77"/>
      <c r="D132" s="50"/>
      <c r="E132" s="51"/>
      <c r="F132" s="52"/>
      <c r="G132" s="376"/>
      <c r="H132" s="376"/>
      <c r="I132" s="80"/>
      <c r="J132" s="80"/>
      <c r="K132" s="382">
        <f>H132*D132</f>
        <v>0</v>
      </c>
      <c r="L132" s="412"/>
      <c r="M132" s="378"/>
      <c r="N132" s="258"/>
      <c r="O132" s="258"/>
      <c r="P132" s="258"/>
      <c r="Q132" s="258"/>
      <c r="R132" s="258"/>
    </row>
    <row r="133" spans="1:18" s="297" customFormat="1" ht="14.15" customHeight="1" x14ac:dyDescent="0.3">
      <c r="A133" s="369"/>
      <c r="B133" s="413"/>
      <c r="C133" s="28"/>
      <c r="D133" s="1"/>
      <c r="E133" s="36"/>
      <c r="F133" s="41"/>
      <c r="G133" s="348"/>
      <c r="H133" s="348"/>
      <c r="I133" s="36"/>
      <c r="J133" s="36"/>
      <c r="K133" s="414"/>
      <c r="L133" s="350"/>
      <c r="M133" s="351"/>
      <c r="N133" s="258"/>
      <c r="O133" s="258"/>
      <c r="P133" s="258"/>
      <c r="Q133" s="258"/>
      <c r="R133" s="258"/>
    </row>
    <row r="134" spans="1:18" s="297" customFormat="1" ht="14.15" customHeight="1" x14ac:dyDescent="0.3">
      <c r="A134" s="404">
        <v>2.19</v>
      </c>
      <c r="B134" s="409" t="s">
        <v>213</v>
      </c>
      <c r="C134" s="96"/>
      <c r="D134" s="1"/>
      <c r="E134" s="36"/>
      <c r="F134" s="41"/>
      <c r="G134" s="348"/>
      <c r="H134" s="348"/>
      <c r="I134" s="36"/>
      <c r="J134" s="36"/>
      <c r="K134" s="415">
        <f>H134*D134</f>
        <v>0</v>
      </c>
      <c r="L134" s="350"/>
      <c r="M134" s="351"/>
      <c r="N134" s="258"/>
      <c r="O134" s="258"/>
      <c r="P134" s="258"/>
      <c r="Q134" s="258"/>
      <c r="R134" s="258"/>
    </row>
    <row r="135" spans="1:18" s="297" customFormat="1" ht="14.15" customHeight="1" x14ac:dyDescent="0.3">
      <c r="A135" s="404" t="s">
        <v>214</v>
      </c>
      <c r="B135" s="373" t="s">
        <v>215</v>
      </c>
      <c r="C135" s="96" t="s">
        <v>42</v>
      </c>
      <c r="D135" s="1">
        <v>1</v>
      </c>
      <c r="E135" s="36">
        <v>25000</v>
      </c>
      <c r="F135" s="41">
        <v>0</v>
      </c>
      <c r="G135" s="348">
        <f>E135/(1-F135)</f>
        <v>25000</v>
      </c>
      <c r="H135" s="348">
        <v>0</v>
      </c>
      <c r="I135" s="36"/>
      <c r="J135" s="36"/>
      <c r="K135" s="415">
        <f>H135*D135</f>
        <v>0</v>
      </c>
      <c r="L135" s="350">
        <f>G135+H135</f>
        <v>25000</v>
      </c>
      <c r="M135" s="351">
        <f>D135*L135</f>
        <v>25000</v>
      </c>
      <c r="N135" s="258"/>
      <c r="O135" s="258"/>
      <c r="P135" s="258"/>
      <c r="Q135" s="258"/>
      <c r="R135" s="258"/>
    </row>
    <row r="136" spans="1:18" s="297" customFormat="1" ht="14.15" customHeight="1" x14ac:dyDescent="0.3">
      <c r="A136" s="404"/>
      <c r="B136" s="409"/>
      <c r="C136" s="96"/>
      <c r="D136" s="1"/>
      <c r="E136" s="36"/>
      <c r="F136" s="41"/>
      <c r="G136" s="348"/>
      <c r="H136" s="348"/>
      <c r="I136" s="36"/>
      <c r="J136" s="36"/>
      <c r="K136" s="415"/>
      <c r="L136" s="350"/>
      <c r="M136" s="351"/>
      <c r="N136" s="258"/>
      <c r="O136" s="258"/>
      <c r="P136" s="258"/>
      <c r="Q136" s="258"/>
      <c r="R136" s="258"/>
    </row>
    <row r="137" spans="1:18" s="297" customFormat="1" ht="14.15" customHeight="1" x14ac:dyDescent="0.3">
      <c r="A137" s="416">
        <v>2.2000000000000002</v>
      </c>
      <c r="B137" s="409" t="s">
        <v>216</v>
      </c>
      <c r="C137" s="96"/>
      <c r="D137" s="1"/>
      <c r="E137" s="36"/>
      <c r="F137" s="41"/>
      <c r="G137" s="348"/>
      <c r="H137" s="348"/>
      <c r="I137" s="36"/>
      <c r="J137" s="36"/>
      <c r="K137" s="415">
        <f>H137*D137</f>
        <v>0</v>
      </c>
      <c r="L137" s="350"/>
      <c r="M137" s="351"/>
      <c r="N137" s="258"/>
      <c r="O137" s="258"/>
      <c r="P137" s="258"/>
      <c r="Q137" s="258"/>
      <c r="R137" s="258"/>
    </row>
    <row r="138" spans="1:18" s="297" customFormat="1" ht="14.15" customHeight="1" x14ac:dyDescent="0.3">
      <c r="A138" s="404" t="s">
        <v>217</v>
      </c>
      <c r="B138" s="373" t="s">
        <v>218</v>
      </c>
      <c r="C138" s="96" t="s">
        <v>42</v>
      </c>
      <c r="D138" s="1">
        <v>1</v>
      </c>
      <c r="E138" s="36">
        <f>15000</f>
        <v>15000</v>
      </c>
      <c r="F138" s="41">
        <v>0</v>
      </c>
      <c r="G138" s="348">
        <f>E138/(1-F138)</f>
        <v>15000</v>
      </c>
      <c r="H138" s="348">
        <v>0</v>
      </c>
      <c r="I138" s="36"/>
      <c r="J138" s="36"/>
      <c r="K138" s="415">
        <f>H138*D138</f>
        <v>0</v>
      </c>
      <c r="L138" s="350">
        <f>G138+H138</f>
        <v>15000</v>
      </c>
      <c r="M138" s="351">
        <f>D138*L138</f>
        <v>15000</v>
      </c>
      <c r="N138" s="258"/>
      <c r="O138" s="258"/>
      <c r="P138" s="258"/>
      <c r="Q138" s="258"/>
      <c r="R138" s="258"/>
    </row>
    <row r="139" spans="1:18" s="297" customFormat="1" ht="14.15" customHeight="1" x14ac:dyDescent="0.3">
      <c r="A139" s="404"/>
      <c r="B139" s="409"/>
      <c r="C139" s="96"/>
      <c r="D139" s="1"/>
      <c r="E139" s="36"/>
      <c r="F139" s="41"/>
      <c r="G139" s="348"/>
      <c r="H139" s="348"/>
      <c r="I139" s="36"/>
      <c r="J139" s="36"/>
      <c r="K139" s="415"/>
      <c r="L139" s="350"/>
      <c r="M139" s="351"/>
      <c r="N139" s="258"/>
      <c r="O139" s="258"/>
      <c r="P139" s="258"/>
      <c r="Q139" s="258"/>
      <c r="R139" s="258"/>
    </row>
    <row r="140" spans="1:18" s="297" customFormat="1" ht="14.15" customHeight="1" x14ac:dyDescent="0.3">
      <c r="A140" s="404">
        <v>2.21</v>
      </c>
      <c r="B140" s="409" t="s">
        <v>219</v>
      </c>
      <c r="C140" s="96"/>
      <c r="D140" s="1"/>
      <c r="E140" s="36"/>
      <c r="F140" s="41"/>
      <c r="G140" s="348"/>
      <c r="H140" s="348"/>
      <c r="I140" s="36"/>
      <c r="J140" s="36"/>
      <c r="K140" s="415">
        <f>H140*D140</f>
        <v>0</v>
      </c>
      <c r="L140" s="350"/>
      <c r="M140" s="351"/>
      <c r="N140" s="258"/>
      <c r="O140" s="258"/>
      <c r="P140" s="258"/>
      <c r="Q140" s="258"/>
      <c r="R140" s="258"/>
    </row>
    <row r="141" spans="1:18" ht="14.15" customHeight="1" x14ac:dyDescent="0.3">
      <c r="A141" s="404" t="s">
        <v>220</v>
      </c>
      <c r="B141" s="373" t="s">
        <v>221</v>
      </c>
      <c r="C141" s="96" t="s">
        <v>42</v>
      </c>
      <c r="D141" s="1">
        <v>1</v>
      </c>
      <c r="E141" s="36">
        <f>5000</f>
        <v>5000</v>
      </c>
      <c r="F141" s="41">
        <v>0</v>
      </c>
      <c r="G141" s="348">
        <f>E141/(1-F141)</f>
        <v>5000</v>
      </c>
      <c r="H141" s="348">
        <v>0</v>
      </c>
      <c r="I141" s="36"/>
      <c r="J141" s="36"/>
      <c r="K141" s="415">
        <f>H141*D141</f>
        <v>0</v>
      </c>
      <c r="L141" s="350">
        <f>G141+H141</f>
        <v>5000</v>
      </c>
      <c r="M141" s="351">
        <f>D141*L141</f>
        <v>5000</v>
      </c>
      <c r="N141" s="258"/>
      <c r="O141" s="258"/>
      <c r="P141" s="258"/>
      <c r="Q141" s="258"/>
      <c r="R141" s="258"/>
    </row>
    <row r="142" spans="1:18" ht="14.15" customHeight="1" x14ac:dyDescent="0.3">
      <c r="A142" s="404" t="s">
        <v>222</v>
      </c>
      <c r="B142" s="373" t="s">
        <v>223</v>
      </c>
      <c r="C142" s="96" t="s">
        <v>42</v>
      </c>
      <c r="D142" s="1">
        <v>1</v>
      </c>
      <c r="E142" s="36">
        <f>50000</f>
        <v>50000</v>
      </c>
      <c r="F142" s="41">
        <v>0</v>
      </c>
      <c r="G142" s="348">
        <f>E142/(1-F142)</f>
        <v>50000</v>
      </c>
      <c r="H142" s="348">
        <v>0</v>
      </c>
      <c r="I142" s="36"/>
      <c r="J142" s="36"/>
      <c r="K142" s="415">
        <f>H142*D142</f>
        <v>0</v>
      </c>
      <c r="L142" s="350">
        <f>G142+H142</f>
        <v>50000</v>
      </c>
      <c r="M142" s="351">
        <f>D142*L142</f>
        <v>50000</v>
      </c>
      <c r="N142" s="258"/>
      <c r="O142" s="258"/>
      <c r="P142" s="258"/>
      <c r="Q142" s="258"/>
      <c r="R142" s="258"/>
    </row>
    <row r="143" spans="1:18" ht="14.15" customHeight="1" x14ac:dyDescent="0.3">
      <c r="A143" s="404"/>
      <c r="B143" s="413"/>
      <c r="C143" s="28"/>
      <c r="D143" s="1"/>
      <c r="E143" s="36"/>
      <c r="F143" s="41"/>
      <c r="G143" s="348"/>
      <c r="H143" s="348"/>
      <c r="I143" s="36"/>
      <c r="J143" s="36"/>
      <c r="K143" s="415"/>
      <c r="L143" s="350"/>
      <c r="M143" s="351"/>
      <c r="N143" s="258"/>
      <c r="O143" s="258"/>
      <c r="P143" s="258"/>
      <c r="Q143" s="258"/>
      <c r="R143" s="258"/>
    </row>
    <row r="144" spans="1:18" ht="14.15" customHeight="1" x14ac:dyDescent="0.3">
      <c r="A144" s="404">
        <v>2.2200000000000002</v>
      </c>
      <c r="B144" s="409" t="s">
        <v>224</v>
      </c>
      <c r="C144" s="28"/>
      <c r="D144" s="1"/>
      <c r="E144" s="36"/>
      <c r="F144" s="41"/>
      <c r="G144" s="348"/>
      <c r="H144" s="348"/>
      <c r="I144" s="36"/>
      <c r="J144" s="36"/>
      <c r="K144" s="415">
        <f>H144*D144</f>
        <v>0</v>
      </c>
      <c r="L144" s="350"/>
      <c r="M144" s="351"/>
      <c r="N144" s="258"/>
      <c r="O144" s="258"/>
      <c r="P144" s="258"/>
      <c r="Q144" s="258"/>
      <c r="R144" s="258"/>
    </row>
    <row r="145" spans="1:18" ht="14.15" customHeight="1" x14ac:dyDescent="0.3">
      <c r="A145" s="404"/>
      <c r="B145" s="413"/>
      <c r="C145" s="28"/>
      <c r="D145" s="1"/>
      <c r="E145" s="36"/>
      <c r="F145" s="41"/>
      <c r="G145" s="348"/>
      <c r="H145" s="348"/>
      <c r="I145" s="36"/>
      <c r="J145" s="36"/>
      <c r="K145" s="415">
        <f>H145*D145</f>
        <v>0</v>
      </c>
      <c r="L145" s="350"/>
      <c r="M145" s="351"/>
      <c r="N145" s="258"/>
      <c r="O145" s="258"/>
      <c r="P145" s="258"/>
      <c r="Q145" s="258"/>
      <c r="R145" s="258"/>
    </row>
    <row r="146" spans="1:18" ht="42" customHeight="1" x14ac:dyDescent="0.3">
      <c r="A146" s="404" t="s">
        <v>225</v>
      </c>
      <c r="B146" s="373" t="s">
        <v>226</v>
      </c>
      <c r="C146" s="28" t="s">
        <v>42</v>
      </c>
      <c r="D146" s="1">
        <v>1</v>
      </c>
      <c r="E146" s="36">
        <f>5000*3</f>
        <v>15000</v>
      </c>
      <c r="F146" s="41">
        <v>0.2</v>
      </c>
      <c r="G146" s="348">
        <f>E146/(1-F146)</f>
        <v>18750</v>
      </c>
      <c r="H146" s="348">
        <v>1</v>
      </c>
      <c r="I146" s="36"/>
      <c r="J146" s="36"/>
      <c r="K146" s="415">
        <f>H146*D146</f>
        <v>1</v>
      </c>
      <c r="L146" s="350">
        <f>G146+H146</f>
        <v>18751</v>
      </c>
      <c r="M146" s="351">
        <f>D146*L146</f>
        <v>18751</v>
      </c>
      <c r="N146" s="258"/>
      <c r="O146" s="258"/>
      <c r="P146" s="258"/>
      <c r="Q146" s="258"/>
      <c r="R146" s="258"/>
    </row>
    <row r="147" spans="1:18" ht="14.5" customHeight="1" thickBot="1" x14ac:dyDescent="0.35">
      <c r="A147" s="404"/>
      <c r="B147" s="413"/>
      <c r="C147" s="28"/>
      <c r="D147" s="1"/>
      <c r="E147" s="36"/>
      <c r="F147" s="41"/>
      <c r="G147" s="348"/>
      <c r="H147" s="348"/>
      <c r="I147" s="36"/>
      <c r="J147" s="36"/>
      <c r="K147" s="417"/>
      <c r="L147" s="350"/>
      <c r="M147" s="418"/>
      <c r="N147" s="258"/>
      <c r="O147" s="258"/>
      <c r="P147" s="258"/>
      <c r="Q147" s="258"/>
      <c r="R147" s="258"/>
    </row>
    <row r="148" spans="1:18" ht="18.75" customHeight="1" thickTop="1" x14ac:dyDescent="0.3">
      <c r="A148" s="419"/>
      <c r="B148" s="420" t="s">
        <v>227</v>
      </c>
      <c r="C148" s="2"/>
      <c r="D148" s="2"/>
      <c r="E148" s="39"/>
      <c r="F148" s="42"/>
      <c r="G148" s="421"/>
      <c r="H148" s="421"/>
      <c r="I148" s="39"/>
      <c r="J148" s="39"/>
      <c r="K148" s="422">
        <f>SUM(K11:K146)</f>
        <v>96486</v>
      </c>
      <c r="L148" s="423"/>
      <c r="M148" s="424">
        <f>SUM(M11:M147)</f>
        <v>3388574.7782142856</v>
      </c>
      <c r="N148" s="258"/>
      <c r="O148" s="425"/>
      <c r="P148" s="258"/>
      <c r="Q148" s="258"/>
      <c r="R148" s="258"/>
    </row>
    <row r="149" spans="1:18" ht="16.5" customHeight="1" x14ac:dyDescent="0.3">
      <c r="A149" s="426"/>
      <c r="B149" s="427"/>
      <c r="C149" s="257"/>
      <c r="D149" s="47"/>
      <c r="E149" s="250"/>
      <c r="F149" s="48"/>
      <c r="G149" s="428"/>
      <c r="H149" s="428"/>
      <c r="I149" s="250"/>
      <c r="J149" s="250"/>
      <c r="K149" s="429"/>
      <c r="L149" s="430"/>
      <c r="M149" s="431"/>
      <c r="N149" s="258"/>
      <c r="O149" s="258"/>
      <c r="P149" s="258"/>
      <c r="Q149" s="258"/>
      <c r="R149" s="258"/>
    </row>
    <row r="150" spans="1:18" ht="18.75" customHeight="1" x14ac:dyDescent="0.3">
      <c r="A150" s="258"/>
      <c r="B150" s="387"/>
      <c r="C150" s="34"/>
      <c r="D150" s="249"/>
      <c r="E150" s="249"/>
      <c r="F150" s="249"/>
      <c r="G150" s="432"/>
      <c r="H150" s="432"/>
      <c r="I150" s="249"/>
      <c r="J150" s="249"/>
      <c r="K150" s="432"/>
      <c r="L150" s="433"/>
      <c r="M150" s="434"/>
      <c r="N150" s="433"/>
      <c r="O150" s="258"/>
      <c r="P150" s="258"/>
      <c r="Q150" s="258"/>
      <c r="R150" s="258"/>
    </row>
    <row r="151" spans="1:18" ht="18.75" customHeight="1" x14ac:dyDescent="0.25">
      <c r="A151" s="258"/>
      <c r="B151" s="258"/>
      <c r="G151" s="258"/>
      <c r="H151" s="258"/>
      <c r="K151" s="258"/>
      <c r="L151" s="258"/>
      <c r="M151" s="258"/>
      <c r="N151" s="258"/>
      <c r="O151" s="258"/>
      <c r="P151" s="258"/>
      <c r="Q151" s="258"/>
      <c r="R151" s="258"/>
    </row>
    <row r="152" spans="1:18" ht="18.75" customHeight="1" x14ac:dyDescent="0.25">
      <c r="A152" s="258"/>
      <c r="B152" s="258"/>
      <c r="G152" s="258"/>
      <c r="H152" s="258"/>
      <c r="K152" s="258"/>
      <c r="L152" s="258"/>
      <c r="M152" s="258"/>
      <c r="N152" s="258"/>
      <c r="O152" s="258"/>
      <c r="P152" s="258"/>
      <c r="Q152" s="258"/>
      <c r="R152" s="258"/>
    </row>
    <row r="153" spans="1:18" ht="18.75" customHeight="1" x14ac:dyDescent="0.25">
      <c r="A153" s="258"/>
      <c r="B153" s="258"/>
      <c r="G153" s="258"/>
      <c r="H153" s="258"/>
      <c r="K153" s="258"/>
      <c r="L153" s="258"/>
      <c r="M153" s="258"/>
      <c r="N153" s="258"/>
      <c r="O153" s="258"/>
      <c r="P153" s="258"/>
      <c r="Q153" s="258"/>
      <c r="R153" s="258"/>
    </row>
    <row r="154" spans="1:18" ht="18.75" customHeight="1" x14ac:dyDescent="0.25">
      <c r="A154" s="258"/>
      <c r="B154" s="258"/>
      <c r="G154" s="258"/>
      <c r="H154" s="258"/>
      <c r="K154" s="258"/>
      <c r="L154" s="258"/>
      <c r="M154" s="258"/>
      <c r="N154" s="258"/>
      <c r="O154" s="258"/>
      <c r="P154" s="258"/>
      <c r="Q154" s="258"/>
      <c r="R154" s="258"/>
    </row>
    <row r="155" spans="1:18" ht="18.75" customHeight="1" x14ac:dyDescent="0.25">
      <c r="A155" s="258"/>
      <c r="B155" s="258"/>
      <c r="G155" s="258"/>
      <c r="H155" s="258"/>
      <c r="K155" s="258"/>
      <c r="L155" s="258"/>
      <c r="M155" s="258"/>
      <c r="N155" s="258"/>
      <c r="O155" s="258"/>
      <c r="P155" s="258"/>
      <c r="Q155" s="258"/>
      <c r="R155" s="258"/>
    </row>
    <row r="156" spans="1:18" ht="18.75" customHeight="1" x14ac:dyDescent="0.25">
      <c r="A156" s="258"/>
      <c r="B156" s="258"/>
      <c r="G156" s="258"/>
      <c r="H156" s="258"/>
      <c r="K156" s="258"/>
      <c r="L156" s="258"/>
      <c r="M156" s="258"/>
      <c r="N156" s="258"/>
      <c r="O156" s="258"/>
      <c r="P156" s="258"/>
      <c r="Q156" s="258"/>
      <c r="R156" s="258"/>
    </row>
    <row r="157" spans="1:18" ht="18.75" customHeight="1" x14ac:dyDescent="0.25">
      <c r="A157" s="258"/>
      <c r="B157" s="258"/>
      <c r="G157" s="258"/>
      <c r="H157" s="258"/>
      <c r="K157" s="258"/>
      <c r="L157" s="258"/>
      <c r="M157" s="258"/>
      <c r="N157" s="258"/>
      <c r="O157" s="258"/>
      <c r="P157" s="258"/>
      <c r="Q157" s="258"/>
      <c r="R157" s="258"/>
    </row>
    <row r="158" spans="1:18" ht="18.75" customHeight="1" x14ac:dyDescent="0.25">
      <c r="A158" s="258"/>
      <c r="B158" s="258"/>
      <c r="G158" s="258"/>
      <c r="H158" s="258"/>
      <c r="K158" s="258"/>
      <c r="L158" s="258"/>
      <c r="M158" s="258"/>
      <c r="N158" s="258"/>
      <c r="O158" s="258"/>
      <c r="P158" s="258"/>
      <c r="Q158" s="258"/>
      <c r="R158" s="258"/>
    </row>
    <row r="159" spans="1:18" ht="18.75" customHeight="1" x14ac:dyDescent="0.25">
      <c r="A159" s="258"/>
      <c r="B159" s="258"/>
      <c r="G159" s="258"/>
      <c r="H159" s="258"/>
      <c r="K159" s="258"/>
      <c r="L159" s="258"/>
      <c r="M159" s="258"/>
      <c r="N159" s="258"/>
      <c r="O159" s="258"/>
      <c r="P159" s="258"/>
      <c r="Q159" s="258"/>
      <c r="R159" s="258"/>
    </row>
    <row r="160" spans="1:18" s="8" customFormat="1" ht="18.75" customHeight="1" x14ac:dyDescent="0.25">
      <c r="A160" s="258"/>
      <c r="B160" s="435"/>
      <c r="C160" s="35"/>
      <c r="G160" s="258"/>
      <c r="H160" s="258"/>
      <c r="K160" s="258"/>
      <c r="L160" s="436"/>
      <c r="M160" s="437"/>
      <c r="N160" s="436"/>
      <c r="O160" s="438"/>
      <c r="P160" s="258"/>
      <c r="Q160" s="258"/>
      <c r="R160" s="258"/>
    </row>
    <row r="161" spans="1:18" s="8" customFormat="1" ht="18.75" customHeight="1" x14ac:dyDescent="0.25">
      <c r="A161" s="258"/>
      <c r="B161" s="435"/>
      <c r="C161" s="35"/>
      <c r="G161" s="258"/>
      <c r="H161" s="258"/>
      <c r="K161" s="258"/>
      <c r="L161" s="436"/>
      <c r="M161" s="437"/>
      <c r="N161" s="436"/>
      <c r="O161" s="438"/>
      <c r="P161" s="258"/>
      <c r="Q161" s="258"/>
      <c r="R161" s="258"/>
    </row>
    <row r="162" spans="1:18" s="8" customFormat="1" ht="18.75" customHeight="1" x14ac:dyDescent="0.25">
      <c r="A162" s="258"/>
      <c r="B162" s="435"/>
      <c r="C162" s="35"/>
      <c r="G162" s="258"/>
      <c r="H162" s="258"/>
      <c r="K162" s="258"/>
      <c r="L162" s="436"/>
      <c r="M162" s="437"/>
      <c r="N162" s="436"/>
      <c r="O162" s="438"/>
      <c r="P162" s="258"/>
      <c r="Q162" s="258"/>
      <c r="R162" s="258"/>
    </row>
    <row r="163" spans="1:18" s="8" customFormat="1" ht="18.75" customHeight="1" x14ac:dyDescent="0.25">
      <c r="A163" s="258"/>
      <c r="B163" s="435"/>
      <c r="C163" s="35"/>
      <c r="G163" s="258"/>
      <c r="H163" s="258"/>
      <c r="K163" s="258"/>
      <c r="L163" s="436"/>
      <c r="M163" s="437"/>
      <c r="N163" s="436"/>
      <c r="O163" s="438"/>
      <c r="P163" s="258"/>
      <c r="Q163" s="258"/>
      <c r="R163" s="258"/>
    </row>
    <row r="164" spans="1:18" s="8" customFormat="1" ht="18.75" customHeight="1" x14ac:dyDescent="0.25">
      <c r="A164" s="258"/>
      <c r="B164" s="435"/>
      <c r="C164" s="35"/>
      <c r="G164" s="258"/>
      <c r="H164" s="258"/>
      <c r="K164" s="258"/>
      <c r="L164" s="436"/>
      <c r="M164" s="437"/>
      <c r="N164" s="436"/>
      <c r="O164" s="438"/>
      <c r="P164" s="258"/>
      <c r="Q164" s="258"/>
      <c r="R164" s="258"/>
    </row>
    <row r="165" spans="1:18" s="8" customFormat="1" ht="18.75" customHeight="1" x14ac:dyDescent="0.25">
      <c r="A165" s="258"/>
      <c r="B165" s="435"/>
      <c r="C165" s="35"/>
      <c r="G165" s="258"/>
      <c r="H165" s="258"/>
      <c r="K165" s="258"/>
      <c r="L165" s="436"/>
      <c r="M165" s="437"/>
      <c r="N165" s="436"/>
      <c r="O165" s="438"/>
      <c r="P165" s="258"/>
      <c r="Q165" s="258"/>
      <c r="R165" s="258"/>
    </row>
    <row r="166" spans="1:18" s="8" customFormat="1" ht="18.75" customHeight="1" x14ac:dyDescent="0.25">
      <c r="A166" s="258"/>
      <c r="B166" s="435"/>
      <c r="C166" s="35"/>
      <c r="G166" s="258"/>
      <c r="H166" s="258"/>
      <c r="K166" s="258"/>
      <c r="L166" s="436"/>
      <c r="M166" s="437"/>
      <c r="N166" s="436"/>
      <c r="O166" s="438"/>
      <c r="P166" s="258"/>
      <c r="Q166" s="258"/>
      <c r="R166" s="258"/>
    </row>
  </sheetData>
  <sheetProtection password="CEF9" sheet="1"/>
  <mergeCells count="2">
    <mergeCell ref="A2:Q2"/>
    <mergeCell ref="A1:R1"/>
  </mergeCells>
  <pageMargins left="0.45" right="0.45" top="0.5" bottom="0.5" header="0.3" footer="0.3"/>
  <pageSetup paperSize="9" scale="29" orientation="portrait"/>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4" max="13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66"/>
  <sheetViews>
    <sheetView zoomScale="85" zoomScaleNormal="85" zoomScaleSheetLayoutView="70" workbookViewId="0">
      <pane ySplit="5" topLeftCell="A6" activePane="bottomLeft" state="frozen"/>
      <selection activeCell="D115" sqref="D115"/>
      <selection pane="bottomLeft" activeCell="N146" sqref="N146"/>
    </sheetView>
  </sheetViews>
  <sheetFormatPr defaultColWidth="8.54296875" defaultRowHeight="12.5" x14ac:dyDescent="0.25"/>
  <cols>
    <col min="1" max="1" width="16.453125" style="8" customWidth="1"/>
    <col min="2" max="2" width="70.5429687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1" width="13.81640625" style="8" customWidth="1"/>
    <col min="12" max="12" width="13.54296875" style="295" bestFit="1" customWidth="1"/>
    <col min="13" max="13" width="16.81640625" style="296" bestFit="1" customWidth="1"/>
    <col min="14" max="14" width="15.54296875" style="295" customWidth="1"/>
    <col min="15" max="15" width="16" style="297" bestFit="1" customWidth="1"/>
    <col min="16" max="16" width="22.81640625" bestFit="1" customWidth="1"/>
    <col min="17" max="17" width="14.54296875" customWidth="1"/>
  </cols>
  <sheetData>
    <row r="1" spans="1:18" ht="15.65" customHeight="1" x14ac:dyDescent="0.35">
      <c r="A1" s="606" t="s">
        <v>0</v>
      </c>
      <c r="B1" s="560"/>
      <c r="C1" s="559"/>
      <c r="D1" s="586"/>
      <c r="E1" s="586"/>
      <c r="F1" s="586"/>
      <c r="G1" s="560"/>
      <c r="H1" s="560"/>
      <c r="I1" s="586"/>
      <c r="J1" s="586"/>
      <c r="K1" s="560"/>
      <c r="L1" s="560"/>
      <c r="M1" s="560"/>
      <c r="N1" s="560"/>
      <c r="O1" s="560"/>
      <c r="P1" s="560"/>
      <c r="Q1" s="560"/>
      <c r="R1" s="560"/>
    </row>
    <row r="2" spans="1:18" ht="15.65" customHeight="1" x14ac:dyDescent="0.35">
      <c r="A2" s="605" t="str">
        <f>'[1]SECTION 1-P&amp;G'!A2:K2</f>
        <v>MUT - Alternative Energy supply</v>
      </c>
      <c r="B2" s="560"/>
      <c r="C2" s="559"/>
      <c r="D2" s="586"/>
      <c r="E2" s="586"/>
      <c r="F2" s="586"/>
      <c r="G2" s="560"/>
      <c r="H2" s="560"/>
      <c r="I2" s="586"/>
      <c r="J2" s="586"/>
      <c r="K2" s="560"/>
      <c r="L2" s="560"/>
      <c r="M2" s="560"/>
      <c r="N2" s="560"/>
      <c r="O2" s="560"/>
      <c r="P2" s="560"/>
      <c r="Q2" s="560"/>
      <c r="R2" s="299"/>
    </row>
    <row r="3" spans="1:18" ht="16" customHeight="1" thickBot="1" x14ac:dyDescent="0.4">
      <c r="A3" s="300" t="s">
        <v>60</v>
      </c>
      <c r="B3" s="301"/>
      <c r="C3" s="31"/>
      <c r="D3" s="4"/>
      <c r="E3" s="4"/>
      <c r="F3" s="4"/>
      <c r="G3" s="302"/>
      <c r="H3" s="302"/>
      <c r="I3" s="4"/>
      <c r="J3" s="4"/>
      <c r="K3" s="302"/>
      <c r="L3" s="303"/>
      <c r="M3" s="304"/>
      <c r="N3" s="303"/>
      <c r="O3" s="305"/>
      <c r="P3" s="299"/>
      <c r="Q3" s="299"/>
      <c r="R3" s="299"/>
    </row>
    <row r="4" spans="1:18"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310"/>
      <c r="O4" s="258"/>
      <c r="P4" s="258"/>
      <c r="Q4" s="258"/>
      <c r="R4" s="258"/>
    </row>
    <row r="5" spans="1:18" ht="71.5" customHeight="1" thickTop="1" x14ac:dyDescent="0.3">
      <c r="A5" s="311" t="s">
        <v>34</v>
      </c>
      <c r="B5" s="312" t="s">
        <v>4</v>
      </c>
      <c r="C5" s="33" t="s">
        <v>35</v>
      </c>
      <c r="D5" s="33" t="s">
        <v>36</v>
      </c>
      <c r="E5" s="82" t="s">
        <v>72</v>
      </c>
      <c r="F5" s="82" t="s">
        <v>73</v>
      </c>
      <c r="G5" s="313" t="s">
        <v>74</v>
      </c>
      <c r="H5" s="314" t="s">
        <v>75</v>
      </c>
      <c r="I5" s="82" t="s">
        <v>73</v>
      </c>
      <c r="J5" s="315" t="s">
        <v>76</v>
      </c>
      <c r="K5" s="316" t="s">
        <v>77</v>
      </c>
      <c r="L5" s="317" t="s">
        <v>78</v>
      </c>
      <c r="M5" s="316" t="s">
        <v>79</v>
      </c>
      <c r="N5" s="258"/>
      <c r="O5" s="318"/>
      <c r="P5" s="319"/>
      <c r="Q5" s="258"/>
      <c r="R5" s="258"/>
    </row>
    <row r="6" spans="1:18" ht="16.5" customHeight="1" thickBot="1" x14ac:dyDescent="0.35">
      <c r="A6" s="320"/>
      <c r="B6" s="321"/>
      <c r="C6" s="256"/>
      <c r="D6" s="6"/>
      <c r="E6" s="247"/>
      <c r="F6" s="247"/>
      <c r="G6" s="322"/>
      <c r="H6" s="322"/>
      <c r="I6" s="247"/>
      <c r="J6" s="247"/>
      <c r="K6" s="322"/>
      <c r="L6" s="323"/>
      <c r="M6" s="324"/>
      <c r="N6" s="325"/>
      <c r="O6" s="318"/>
      <c r="P6" s="319"/>
      <c r="Q6" s="258"/>
      <c r="R6" s="258"/>
    </row>
    <row r="7" spans="1:18" ht="32.15" customHeight="1" x14ac:dyDescent="0.3">
      <c r="A7" s="326">
        <v>2</v>
      </c>
      <c r="B7" s="327"/>
      <c r="C7" s="59"/>
      <c r="D7" s="60" t="s">
        <v>80</v>
      </c>
      <c r="E7" s="60"/>
      <c r="F7" s="60"/>
      <c r="G7" s="328"/>
      <c r="H7" s="328"/>
      <c r="I7" s="60"/>
      <c r="J7" s="60"/>
      <c r="K7" s="328"/>
      <c r="L7" s="329"/>
      <c r="M7" s="329"/>
      <c r="N7" s="330"/>
      <c r="O7" s="258"/>
      <c r="P7" s="258"/>
      <c r="Q7" s="258"/>
      <c r="R7" s="258"/>
    </row>
    <row r="8" spans="1:18" ht="16.5" customHeight="1" thickBot="1" x14ac:dyDescent="0.35">
      <c r="A8" s="331"/>
      <c r="B8" s="332"/>
      <c r="C8" s="63"/>
      <c r="D8" s="64"/>
      <c r="E8" s="64"/>
      <c r="F8" s="64"/>
      <c r="G8" s="333"/>
      <c r="H8" s="333"/>
      <c r="I8" s="64"/>
      <c r="J8" s="64"/>
      <c r="K8" s="333"/>
      <c r="L8" s="334"/>
      <c r="M8" s="334"/>
      <c r="N8" s="335"/>
      <c r="O8" s="258"/>
      <c r="P8" s="258"/>
      <c r="Q8" s="258"/>
      <c r="R8" s="258"/>
    </row>
    <row r="9" spans="1:18" ht="16.5" customHeight="1" x14ac:dyDescent="0.3">
      <c r="A9" s="336" t="s">
        <v>81</v>
      </c>
      <c r="B9" s="337"/>
      <c r="C9" s="252"/>
      <c r="D9" s="61" t="s">
        <v>82</v>
      </c>
      <c r="E9" s="62"/>
      <c r="F9" s="62"/>
      <c r="G9" s="338"/>
      <c r="H9" s="338"/>
      <c r="I9" s="62"/>
      <c r="J9" s="62"/>
      <c r="K9" s="338"/>
      <c r="L9" s="339"/>
      <c r="M9" s="339"/>
      <c r="N9" s="340"/>
      <c r="O9" s="258"/>
      <c r="P9" s="258"/>
      <c r="Q9" s="258"/>
      <c r="R9" s="258"/>
    </row>
    <row r="10" spans="1:18" ht="16.5" customHeight="1" x14ac:dyDescent="0.3">
      <c r="A10" s="341"/>
      <c r="B10" s="342"/>
      <c r="C10" s="30"/>
      <c r="D10" s="1"/>
      <c r="E10" s="248"/>
      <c r="F10" s="248"/>
      <c r="G10" s="343"/>
      <c r="H10" s="343"/>
      <c r="I10" s="249"/>
      <c r="J10" s="249"/>
      <c r="K10" s="344"/>
      <c r="L10" s="345"/>
      <c r="M10" s="346"/>
      <c r="N10" s="258"/>
      <c r="O10" s="318"/>
      <c r="P10" s="258"/>
      <c r="Q10" s="258"/>
      <c r="R10" s="258"/>
    </row>
    <row r="11" spans="1:18" ht="42.65" customHeight="1" thickBot="1" x14ac:dyDescent="0.35">
      <c r="A11" s="341" t="s">
        <v>83</v>
      </c>
      <c r="B11" s="347" t="s">
        <v>84</v>
      </c>
      <c r="C11" s="248" t="s">
        <v>85</v>
      </c>
      <c r="D11" s="1">
        <v>0</v>
      </c>
      <c r="E11" s="36">
        <f>1623.93</f>
        <v>1623.93</v>
      </c>
      <c r="F11" s="41">
        <v>0.25</v>
      </c>
      <c r="G11" s="348">
        <f>E11/(1-F11)</f>
        <v>2165.2400000000002</v>
      </c>
      <c r="H11" s="348">
        <v>350</v>
      </c>
      <c r="I11" s="83">
        <v>0.15</v>
      </c>
      <c r="J11" s="79">
        <f>H11*(1+I11)</f>
        <v>402.49999999999994</v>
      </c>
      <c r="K11" s="349">
        <f>J11*D11</f>
        <v>0</v>
      </c>
      <c r="L11" s="350">
        <f>G11+J11</f>
        <v>2567.7400000000002</v>
      </c>
      <c r="M11" s="351">
        <f>D11*L11</f>
        <v>0</v>
      </c>
      <c r="N11" s="258"/>
      <c r="O11" s="352"/>
      <c r="P11" s="353"/>
      <c r="Q11" s="258"/>
      <c r="R11" s="258"/>
    </row>
    <row r="12" spans="1:18" ht="14.5" customHeight="1" thickBot="1" x14ac:dyDescent="0.35">
      <c r="A12" s="354"/>
      <c r="B12" s="355"/>
      <c r="C12" s="97"/>
      <c r="D12" s="72"/>
      <c r="E12" s="73"/>
      <c r="F12" s="74"/>
      <c r="G12" s="356"/>
      <c r="H12" s="356"/>
      <c r="I12" s="73"/>
      <c r="J12" s="73"/>
      <c r="K12" s="357"/>
      <c r="L12" s="358"/>
      <c r="M12" s="358"/>
      <c r="N12" s="258"/>
      <c r="O12" s="258"/>
      <c r="P12" s="258"/>
      <c r="Q12" s="258"/>
      <c r="R12" s="258"/>
    </row>
    <row r="13" spans="1:18" ht="14.15" customHeight="1" x14ac:dyDescent="0.3">
      <c r="A13" s="359" t="s">
        <v>86</v>
      </c>
      <c r="B13" s="360"/>
      <c r="C13" s="255"/>
      <c r="D13" s="58" t="s">
        <v>87</v>
      </c>
      <c r="E13" s="56"/>
      <c r="F13" s="57"/>
      <c r="G13" s="361"/>
      <c r="H13" s="361"/>
      <c r="I13" s="56"/>
      <c r="J13" s="56"/>
      <c r="K13" s="362"/>
      <c r="L13" s="363"/>
      <c r="M13" s="363"/>
      <c r="N13" s="258"/>
      <c r="O13" s="364"/>
      <c r="P13" s="258"/>
      <c r="Q13" s="258"/>
      <c r="R13" s="258"/>
    </row>
    <row r="14" spans="1:18" ht="28.5" customHeight="1" thickBot="1" x14ac:dyDescent="0.35">
      <c r="A14" s="341" t="s">
        <v>88</v>
      </c>
      <c r="B14" s="365" t="s">
        <v>89</v>
      </c>
      <c r="C14" s="248" t="s">
        <v>90</v>
      </c>
      <c r="D14" s="1">
        <v>2</v>
      </c>
      <c r="E14" s="36">
        <v>87286.19</v>
      </c>
      <c r="F14" s="41">
        <v>0.2</v>
      </c>
      <c r="G14" s="348">
        <f>E14/(1-F14)</f>
        <v>109107.7375</v>
      </c>
      <c r="H14" s="348">
        <f>(550*8)+3600</f>
        <v>8000</v>
      </c>
      <c r="I14" s="83">
        <v>0.15</v>
      </c>
      <c r="J14" s="79">
        <f>H14*(1+I14)</f>
        <v>9200</v>
      </c>
      <c r="K14" s="349">
        <f>J14*D14</f>
        <v>18400</v>
      </c>
      <c r="L14" s="350">
        <f>G14+J14</f>
        <v>118307.7375</v>
      </c>
      <c r="M14" s="351">
        <f>D14*L14</f>
        <v>236615.47500000001</v>
      </c>
      <c r="N14" s="258"/>
      <c r="O14" s="366"/>
      <c r="P14" s="258"/>
      <c r="Q14" s="258"/>
      <c r="R14" s="258"/>
    </row>
    <row r="15" spans="1:18" ht="14.5" customHeight="1" thickBot="1" x14ac:dyDescent="0.35">
      <c r="A15" s="354"/>
      <c r="B15" s="355"/>
      <c r="C15" s="97"/>
      <c r="D15" s="72"/>
      <c r="E15" s="73"/>
      <c r="F15" s="74"/>
      <c r="G15" s="356"/>
      <c r="H15" s="356"/>
      <c r="I15" s="73"/>
      <c r="J15" s="73"/>
      <c r="K15" s="357"/>
      <c r="L15" s="358"/>
      <c r="M15" s="358"/>
      <c r="N15" s="258"/>
      <c r="O15" s="258"/>
      <c r="P15" s="258"/>
      <c r="Q15" s="258"/>
      <c r="R15" s="258"/>
    </row>
    <row r="16" spans="1:18" ht="14.15" customHeight="1" x14ac:dyDescent="0.3">
      <c r="A16" s="359">
        <v>2.2999999999999998</v>
      </c>
      <c r="B16" s="367"/>
      <c r="C16" s="255"/>
      <c r="D16" s="58" t="s">
        <v>91</v>
      </c>
      <c r="E16" s="56"/>
      <c r="F16" s="57"/>
      <c r="G16" s="361"/>
      <c r="H16" s="361"/>
      <c r="I16" s="56"/>
      <c r="J16" s="56"/>
      <c r="K16" s="362"/>
      <c r="L16" s="363"/>
      <c r="M16" s="363"/>
      <c r="N16" s="258"/>
      <c r="O16" s="318"/>
      <c r="P16" s="258"/>
      <c r="Q16" s="258"/>
      <c r="R16" s="258"/>
    </row>
    <row r="17" spans="1:18" ht="14.15" customHeight="1" x14ac:dyDescent="0.3">
      <c r="A17" s="341" t="s">
        <v>92</v>
      </c>
      <c r="B17" s="368" t="s">
        <v>93</v>
      </c>
      <c r="C17" s="248" t="s">
        <v>90</v>
      </c>
      <c r="D17" s="1">
        <v>1</v>
      </c>
      <c r="E17" s="36">
        <v>20000</v>
      </c>
      <c r="F17" s="41">
        <v>0.2</v>
      </c>
      <c r="G17" s="348">
        <f>E17/(1-F17)</f>
        <v>25000</v>
      </c>
      <c r="H17" s="348">
        <f>(550*4)+3500</f>
        <v>5700</v>
      </c>
      <c r="I17" s="83">
        <v>0.15</v>
      </c>
      <c r="J17" s="79">
        <f>H17*(1+I17)</f>
        <v>6554.9999999999991</v>
      </c>
      <c r="K17" s="349">
        <f>J17*D17</f>
        <v>6554.9999999999991</v>
      </c>
      <c r="L17" s="350">
        <f>G17+J17</f>
        <v>31555</v>
      </c>
      <c r="M17" s="351">
        <f>D17*L17</f>
        <v>31555</v>
      </c>
      <c r="N17" s="258"/>
      <c r="O17" s="369"/>
      <c r="P17" s="258"/>
      <c r="Q17" s="258"/>
      <c r="R17" s="258"/>
    </row>
    <row r="18" spans="1:18" ht="28.5" customHeight="1" thickBot="1" x14ac:dyDescent="0.35">
      <c r="A18" s="341" t="s">
        <v>94</v>
      </c>
      <c r="B18" s="368" t="s">
        <v>95</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258"/>
      <c r="O18" s="369"/>
      <c r="P18" s="258"/>
      <c r="Q18" s="258"/>
      <c r="R18" s="258"/>
    </row>
    <row r="19" spans="1:18" ht="14.15" customHeight="1" x14ac:dyDescent="0.3">
      <c r="A19" s="359">
        <v>2.4</v>
      </c>
      <c r="B19" s="360"/>
      <c r="C19" s="255"/>
      <c r="D19" s="58" t="s">
        <v>96</v>
      </c>
      <c r="E19" s="56"/>
      <c r="F19" s="57"/>
      <c r="G19" s="361"/>
      <c r="H19" s="361"/>
      <c r="I19" s="56"/>
      <c r="J19" s="56"/>
      <c r="K19" s="362"/>
      <c r="L19" s="363"/>
      <c r="M19" s="363"/>
      <c r="N19" s="258"/>
      <c r="O19" s="258"/>
      <c r="P19" s="258"/>
      <c r="Q19" s="258"/>
      <c r="R19" s="258"/>
    </row>
    <row r="20" spans="1:18" ht="28" customHeight="1" x14ac:dyDescent="0.3">
      <c r="A20" s="370" t="s">
        <v>97</v>
      </c>
      <c r="B20" s="365" t="s">
        <v>228</v>
      </c>
      <c r="C20" s="7" t="s">
        <v>42</v>
      </c>
      <c r="D20" s="7">
        <v>2</v>
      </c>
      <c r="E20" s="37">
        <f>460896.21*1.2</f>
        <v>553075.45200000005</v>
      </c>
      <c r="F20" s="41">
        <v>0.2</v>
      </c>
      <c r="G20" s="348">
        <f>E20/(1-F20)</f>
        <v>691344.31500000006</v>
      </c>
      <c r="H20" s="371">
        <f>(550*8)+3600</f>
        <v>8000</v>
      </c>
      <c r="I20" s="83">
        <v>0.15</v>
      </c>
      <c r="J20" s="79">
        <f>H20*(1+I20)</f>
        <v>9200</v>
      </c>
      <c r="K20" s="349">
        <f>J20*D20</f>
        <v>18400</v>
      </c>
      <c r="L20" s="350">
        <f>G20+J20</f>
        <v>700544.31500000006</v>
      </c>
      <c r="M20" s="351">
        <f>D20*L20</f>
        <v>1401088.6300000001</v>
      </c>
      <c r="N20" s="258"/>
      <c r="O20" s="372"/>
      <c r="P20" s="353"/>
      <c r="Q20" s="258"/>
      <c r="R20" s="258"/>
    </row>
    <row r="21" spans="1:18" ht="14.15" customHeight="1" x14ac:dyDescent="0.3">
      <c r="A21" s="370"/>
      <c r="B21" s="373"/>
      <c r="C21" s="7"/>
      <c r="D21" s="7"/>
      <c r="E21" s="37"/>
      <c r="F21" s="41"/>
      <c r="G21" s="348"/>
      <c r="H21" s="371"/>
      <c r="I21" s="66"/>
      <c r="J21" s="66"/>
      <c r="K21" s="349"/>
      <c r="L21" s="350"/>
      <c r="M21" s="351"/>
      <c r="N21" s="258"/>
      <c r="O21" s="258"/>
      <c r="P21" s="353"/>
      <c r="Q21" s="258"/>
      <c r="R21" s="258"/>
    </row>
    <row r="22" spans="1:18" ht="14.15" customHeight="1" x14ac:dyDescent="0.3">
      <c r="A22" s="370" t="s">
        <v>99</v>
      </c>
      <c r="B22" s="373"/>
      <c r="C22" s="7"/>
      <c r="D22" s="7"/>
      <c r="E22" s="37"/>
      <c r="F22" s="41"/>
      <c r="G22" s="348"/>
      <c r="H22" s="371"/>
      <c r="I22" s="66"/>
      <c r="J22" s="66"/>
      <c r="K22" s="349"/>
      <c r="L22" s="350"/>
      <c r="M22" s="351"/>
      <c r="N22" s="258"/>
      <c r="O22" s="258"/>
      <c r="P22" s="353"/>
      <c r="Q22" s="258"/>
      <c r="R22" s="258"/>
    </row>
    <row r="23" spans="1:18" ht="28.5" customHeight="1" thickBot="1" x14ac:dyDescent="0.35">
      <c r="A23" s="374"/>
      <c r="B23" s="375" t="s">
        <v>100</v>
      </c>
      <c r="C23" s="68" t="s">
        <v>90</v>
      </c>
      <c r="D23" s="68">
        <v>2</v>
      </c>
      <c r="E23" s="69">
        <f>1888.71*1.15</f>
        <v>2172.0164999999997</v>
      </c>
      <c r="F23" s="52">
        <v>0.2</v>
      </c>
      <c r="G23" s="376">
        <f>E23/(1-F23)</f>
        <v>2715.0206249999997</v>
      </c>
      <c r="H23" s="377">
        <f>250*1</f>
        <v>250</v>
      </c>
      <c r="I23" s="83">
        <v>0.15</v>
      </c>
      <c r="J23" s="79">
        <f>H23*(1+I23)</f>
        <v>287.5</v>
      </c>
      <c r="K23" s="349">
        <f>J23*D23</f>
        <v>575</v>
      </c>
      <c r="L23" s="350">
        <f>G23+J23</f>
        <v>3002.5206249999997</v>
      </c>
      <c r="M23" s="378">
        <f>D23*L23</f>
        <v>6005.0412499999993</v>
      </c>
      <c r="N23" s="258"/>
      <c r="O23" s="258"/>
      <c r="P23" s="353"/>
      <c r="Q23" s="258"/>
      <c r="R23" s="258"/>
    </row>
    <row r="24" spans="1:18" ht="14.5" customHeight="1" thickBot="1" x14ac:dyDescent="0.35">
      <c r="A24" s="354"/>
      <c r="B24" s="355"/>
      <c r="C24" s="97"/>
      <c r="D24" s="72"/>
      <c r="E24" s="73"/>
      <c r="F24" s="74"/>
      <c r="G24" s="356"/>
      <c r="H24" s="356"/>
      <c r="I24" s="73"/>
      <c r="J24" s="73"/>
      <c r="K24" s="357"/>
      <c r="L24" s="358"/>
      <c r="M24" s="358"/>
      <c r="N24" s="258"/>
      <c r="O24" s="258"/>
      <c r="P24" s="258"/>
      <c r="Q24" s="258"/>
      <c r="R24" s="258"/>
    </row>
    <row r="25" spans="1:18" ht="14.15" customHeight="1" x14ac:dyDescent="0.3">
      <c r="A25" s="379">
        <v>2.5</v>
      </c>
      <c r="B25" s="360"/>
      <c r="C25" s="255"/>
      <c r="D25" s="58" t="s">
        <v>101</v>
      </c>
      <c r="E25" s="56"/>
      <c r="F25" s="57"/>
      <c r="G25" s="361"/>
      <c r="H25" s="361"/>
      <c r="I25" s="56"/>
      <c r="J25" s="56"/>
      <c r="K25" s="362"/>
      <c r="L25" s="363"/>
      <c r="M25" s="363"/>
      <c r="N25" s="258"/>
      <c r="O25" s="258"/>
      <c r="P25" s="258"/>
      <c r="Q25" s="258"/>
      <c r="R25" s="258"/>
    </row>
    <row r="26" spans="1:18" ht="28" customHeight="1" x14ac:dyDescent="0.3">
      <c r="A26" s="380" t="s">
        <v>102</v>
      </c>
      <c r="B26" s="368" t="s">
        <v>103</v>
      </c>
      <c r="C26" s="7" t="s">
        <v>85</v>
      </c>
      <c r="D26" s="7">
        <v>1</v>
      </c>
      <c r="E26" s="37">
        <v>650</v>
      </c>
      <c r="F26" s="41">
        <v>0.2</v>
      </c>
      <c r="G26" s="348">
        <f>E26/(1-F26)</f>
        <v>812.5</v>
      </c>
      <c r="H26" s="371">
        <f>(((5*200)*4)*1.2)/D26</f>
        <v>4800</v>
      </c>
      <c r="I26" s="83">
        <v>0.15</v>
      </c>
      <c r="J26" s="79">
        <f>H26*(1+I26)</f>
        <v>5520</v>
      </c>
      <c r="K26" s="349">
        <f>J26*D26</f>
        <v>5520</v>
      </c>
      <c r="L26" s="350">
        <f>G26+J26</f>
        <v>6332.5</v>
      </c>
      <c r="M26" s="351">
        <f>D26*L26</f>
        <v>6332.5</v>
      </c>
      <c r="N26" s="258"/>
      <c r="O26" s="258"/>
      <c r="P26" s="353"/>
      <c r="Q26" s="258"/>
      <c r="R26" s="258"/>
    </row>
    <row r="27" spans="1:18" ht="14.5" customHeight="1" thickBot="1" x14ac:dyDescent="0.35">
      <c r="A27" s="381"/>
      <c r="B27" s="375" t="s">
        <v>104</v>
      </c>
      <c r="C27" s="85"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c r="P27" s="258"/>
      <c r="Q27" s="258"/>
      <c r="R27" s="258"/>
    </row>
    <row r="28" spans="1:18" ht="14.5" customHeight="1" thickBot="1" x14ac:dyDescent="0.35">
      <c r="A28" s="354"/>
      <c r="B28" s="355"/>
      <c r="C28" s="97"/>
      <c r="D28" s="72"/>
      <c r="E28" s="73"/>
      <c r="F28" s="74"/>
      <c r="G28" s="356"/>
      <c r="H28" s="356"/>
      <c r="I28" s="73"/>
      <c r="J28" s="73"/>
      <c r="K28" s="357"/>
      <c r="L28" s="358"/>
      <c r="M28" s="358"/>
      <c r="N28" s="258"/>
      <c r="O28" s="258"/>
      <c r="P28" s="258"/>
      <c r="Q28" s="258"/>
      <c r="R28" s="258"/>
    </row>
    <row r="29" spans="1:18" ht="14.15" customHeight="1" x14ac:dyDescent="0.3">
      <c r="A29" s="359">
        <v>2.6</v>
      </c>
      <c r="B29" s="360"/>
      <c r="C29" s="255"/>
      <c r="D29" s="58" t="s">
        <v>105</v>
      </c>
      <c r="E29" s="56"/>
      <c r="F29" s="57"/>
      <c r="G29" s="361"/>
      <c r="H29" s="361"/>
      <c r="I29" s="56"/>
      <c r="J29" s="56"/>
      <c r="K29" s="362"/>
      <c r="L29" s="363"/>
      <c r="M29" s="363"/>
      <c r="N29" s="258"/>
      <c r="O29" s="258"/>
      <c r="P29" s="258"/>
      <c r="Q29" s="258"/>
      <c r="R29" s="258"/>
    </row>
    <row r="30" spans="1:18" ht="42" customHeight="1" x14ac:dyDescent="0.3">
      <c r="A30" s="341" t="s">
        <v>106</v>
      </c>
      <c r="B30" s="368" t="s">
        <v>107</v>
      </c>
      <c r="C30" s="248" t="s">
        <v>108</v>
      </c>
      <c r="D30" s="1">
        <v>0</v>
      </c>
      <c r="E30" s="36">
        <f>14.85*1.15</f>
        <v>17.077499999999997</v>
      </c>
      <c r="F30" s="41">
        <v>0.2</v>
      </c>
      <c r="G30" s="348">
        <f>E30/(1-F30)</f>
        <v>21.346874999999994</v>
      </c>
      <c r="H30" s="348">
        <f>39</f>
        <v>39</v>
      </c>
      <c r="I30" s="83">
        <v>0.15</v>
      </c>
      <c r="J30" s="79">
        <f>H30*(1+I30)</f>
        <v>44.849999999999994</v>
      </c>
      <c r="K30" s="349">
        <f>J30*D30</f>
        <v>0</v>
      </c>
      <c r="L30" s="350">
        <f>G30+J30</f>
        <v>66.196874999999991</v>
      </c>
      <c r="M30" s="351">
        <f>D30*L30</f>
        <v>0</v>
      </c>
      <c r="N30" s="258"/>
      <c r="O30" s="258"/>
      <c r="P30" s="353"/>
      <c r="Q30" s="258"/>
      <c r="R30" s="258"/>
    </row>
    <row r="31" spans="1:18" ht="14.15" customHeight="1" x14ac:dyDescent="0.3">
      <c r="A31" s="341" t="s">
        <v>109</v>
      </c>
      <c r="B31" s="373" t="s">
        <v>110</v>
      </c>
      <c r="C31" s="248" t="s">
        <v>108</v>
      </c>
      <c r="D31" s="1">
        <v>6</v>
      </c>
      <c r="E31" s="36">
        <f>180*1.15</f>
        <v>206.99999999999997</v>
      </c>
      <c r="F31" s="41">
        <v>0.2</v>
      </c>
      <c r="G31" s="348">
        <f>E31/(1-F31)</f>
        <v>258.74999999999994</v>
      </c>
      <c r="H31" s="348">
        <f>65</f>
        <v>65</v>
      </c>
      <c r="I31" s="83">
        <v>0.15</v>
      </c>
      <c r="J31" s="79">
        <f>H31*(1+I31)</f>
        <v>74.75</v>
      </c>
      <c r="K31" s="349">
        <f>J31*D31</f>
        <v>448.5</v>
      </c>
      <c r="L31" s="350">
        <f>G31+J31</f>
        <v>333.49999999999994</v>
      </c>
      <c r="M31" s="351">
        <f>D31*L31</f>
        <v>2000.9999999999995</v>
      </c>
      <c r="N31" s="258"/>
      <c r="O31" s="258"/>
      <c r="P31" s="353"/>
      <c r="Q31" s="258"/>
      <c r="R31" s="258"/>
    </row>
    <row r="32" spans="1:18" ht="14.15" customHeight="1" x14ac:dyDescent="0.3">
      <c r="A32" s="341" t="s">
        <v>111</v>
      </c>
      <c r="B32" s="373" t="s">
        <v>112</v>
      </c>
      <c r="C32" s="248"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353"/>
      <c r="P32" s="258"/>
      <c r="Q32" s="258"/>
      <c r="R32" s="258"/>
    </row>
    <row r="33" spans="1:18" ht="14.5" customHeight="1" thickBot="1" x14ac:dyDescent="0.35">
      <c r="A33" s="381"/>
      <c r="B33" s="383" t="s">
        <v>113</v>
      </c>
      <c r="C33" s="85"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353"/>
      <c r="P33" s="258"/>
      <c r="Q33" s="258"/>
      <c r="R33" s="258"/>
    </row>
    <row r="34" spans="1:18" ht="14.5" customHeight="1" thickBot="1" x14ac:dyDescent="0.35">
      <c r="A34" s="354"/>
      <c r="B34" s="355"/>
      <c r="C34" s="97"/>
      <c r="D34" s="72"/>
      <c r="E34" s="73"/>
      <c r="F34" s="74"/>
      <c r="G34" s="356"/>
      <c r="H34" s="356"/>
      <c r="I34" s="73"/>
      <c r="J34" s="73"/>
      <c r="K34" s="357"/>
      <c r="L34" s="358"/>
      <c r="M34" s="358"/>
      <c r="N34" s="258"/>
      <c r="O34" s="258"/>
      <c r="P34" s="258"/>
      <c r="Q34" s="258"/>
      <c r="R34" s="258"/>
    </row>
    <row r="35" spans="1:18" ht="14.15" customHeight="1" x14ac:dyDescent="0.3">
      <c r="A35" s="359">
        <v>2.7</v>
      </c>
      <c r="B35" s="360"/>
      <c r="C35" s="255"/>
      <c r="D35" s="58" t="s">
        <v>114</v>
      </c>
      <c r="E35" s="56"/>
      <c r="F35" s="57"/>
      <c r="G35" s="361"/>
      <c r="H35" s="361"/>
      <c r="I35" s="56"/>
      <c r="J35" s="56"/>
      <c r="K35" s="362"/>
      <c r="L35" s="363"/>
      <c r="M35" s="363"/>
      <c r="N35" s="258"/>
      <c r="O35" s="258"/>
      <c r="P35" s="258"/>
      <c r="Q35" s="258"/>
      <c r="R35" s="258"/>
    </row>
    <row r="36" spans="1:18" ht="42" customHeight="1" x14ac:dyDescent="0.3">
      <c r="A36" s="370" t="s">
        <v>115</v>
      </c>
      <c r="B36" s="368" t="s">
        <v>116</v>
      </c>
      <c r="C36" s="7" t="s">
        <v>90</v>
      </c>
      <c r="D36" s="7">
        <v>0</v>
      </c>
      <c r="E36" s="37">
        <f>13501.37*1.2</f>
        <v>16201.644</v>
      </c>
      <c r="F36" s="41">
        <v>0.2</v>
      </c>
      <c r="G36" s="348">
        <f>E36/(1-F36)</f>
        <v>20252.055</v>
      </c>
      <c r="H36" s="371">
        <f>250*2</f>
        <v>500</v>
      </c>
      <c r="I36" s="83">
        <v>0.15</v>
      </c>
      <c r="J36" s="79">
        <f>H36*(1+I36)</f>
        <v>575</v>
      </c>
      <c r="K36" s="349">
        <f>J36*D36</f>
        <v>0</v>
      </c>
      <c r="L36" s="350">
        <f>G36+J36</f>
        <v>20827.055</v>
      </c>
      <c r="M36" s="351">
        <f>D36*L36</f>
        <v>0</v>
      </c>
      <c r="N36" s="258"/>
      <c r="O36" s="258"/>
      <c r="P36" s="258"/>
      <c r="Q36" s="258"/>
      <c r="R36" s="258"/>
    </row>
    <row r="37" spans="1:18" ht="42.65" customHeight="1" thickBot="1" x14ac:dyDescent="0.35">
      <c r="A37" s="381" t="s">
        <v>117</v>
      </c>
      <c r="B37" s="375" t="s">
        <v>118</v>
      </c>
      <c r="C37" s="68" t="s">
        <v>90</v>
      </c>
      <c r="D37" s="68">
        <v>0</v>
      </c>
      <c r="E37" s="69">
        <f>13501.37*1.2</f>
        <v>16201.644</v>
      </c>
      <c r="F37" s="52">
        <v>0.2</v>
      </c>
      <c r="G37" s="376">
        <f>E37/(1-F37)</f>
        <v>20252.055</v>
      </c>
      <c r="H37" s="377">
        <f>250*2</f>
        <v>500</v>
      </c>
      <c r="I37" s="83">
        <v>0.15</v>
      </c>
      <c r="J37" s="79">
        <f>H37*(1+I37)</f>
        <v>575</v>
      </c>
      <c r="K37" s="382">
        <f>J37*D37</f>
        <v>0</v>
      </c>
      <c r="L37" s="350">
        <f>G37+J37</f>
        <v>20827.055</v>
      </c>
      <c r="M37" s="378">
        <f>D37*L37</f>
        <v>0</v>
      </c>
      <c r="N37" s="258"/>
      <c r="O37" s="258"/>
      <c r="P37" s="258"/>
      <c r="Q37" s="258"/>
      <c r="R37" s="258"/>
    </row>
    <row r="38" spans="1:18" ht="14.5" customHeight="1" thickBot="1" x14ac:dyDescent="0.35">
      <c r="A38" s="354"/>
      <c r="B38" s="355"/>
      <c r="C38" s="97"/>
      <c r="D38" s="72"/>
      <c r="E38" s="73"/>
      <c r="F38" s="74"/>
      <c r="G38" s="356"/>
      <c r="H38" s="356"/>
      <c r="I38" s="73"/>
      <c r="J38" s="73"/>
      <c r="K38" s="357"/>
      <c r="L38" s="358"/>
      <c r="M38" s="358"/>
      <c r="N38" s="258"/>
      <c r="O38" s="258"/>
      <c r="P38" s="258"/>
      <c r="Q38" s="258"/>
      <c r="R38" s="258"/>
    </row>
    <row r="39" spans="1:18" ht="16.5" customHeight="1" x14ac:dyDescent="0.3">
      <c r="A39" s="359">
        <v>2.8</v>
      </c>
      <c r="B39" s="360"/>
      <c r="C39" s="255"/>
      <c r="D39" s="58" t="s">
        <v>119</v>
      </c>
      <c r="E39" s="56"/>
      <c r="F39" s="57"/>
      <c r="G39" s="361"/>
      <c r="H39" s="361"/>
      <c r="I39" s="56"/>
      <c r="J39" s="56"/>
      <c r="K39" s="362"/>
      <c r="L39" s="363"/>
      <c r="M39" s="363"/>
      <c r="N39" s="258"/>
      <c r="O39" s="258"/>
      <c r="P39" s="258"/>
      <c r="Q39" s="258"/>
      <c r="R39" s="258"/>
    </row>
    <row r="40" spans="1:18" ht="16.5" customHeight="1" x14ac:dyDescent="0.3">
      <c r="A40" s="384"/>
      <c r="B40" s="342"/>
      <c r="C40" s="30"/>
      <c r="D40" s="1"/>
      <c r="E40" s="36"/>
      <c r="F40" s="41"/>
      <c r="G40" s="348"/>
      <c r="H40" s="348"/>
      <c r="I40" s="83"/>
      <c r="J40" s="79"/>
      <c r="K40" s="349"/>
      <c r="L40" s="350"/>
      <c r="M40" s="351"/>
      <c r="N40" s="258"/>
      <c r="O40" s="258"/>
      <c r="P40" s="258"/>
      <c r="Q40" s="258"/>
      <c r="R40" s="258"/>
    </row>
    <row r="41" spans="1:18" ht="14.15" customHeight="1" x14ac:dyDescent="0.3">
      <c r="A41" s="341" t="s">
        <v>120</v>
      </c>
      <c r="B41" s="385" t="s">
        <v>121</v>
      </c>
      <c r="C41" s="30" t="s">
        <v>90</v>
      </c>
      <c r="D41" s="1">
        <v>2</v>
      </c>
      <c r="E41" s="36">
        <v>2500</v>
      </c>
      <c r="F41" s="41">
        <v>0.2</v>
      </c>
      <c r="G41" s="348">
        <f>E41/(1-F41)</f>
        <v>3125</v>
      </c>
      <c r="H41" s="348">
        <f>(250+100)*4</f>
        <v>1400</v>
      </c>
      <c r="I41" s="83">
        <v>0.15</v>
      </c>
      <c r="J41" s="79">
        <f>H41*(1+I41)</f>
        <v>1609.9999999999998</v>
      </c>
      <c r="K41" s="349">
        <f>J41*D41</f>
        <v>3219.9999999999995</v>
      </c>
      <c r="L41" s="350">
        <f>G41+J41</f>
        <v>4735</v>
      </c>
      <c r="M41" s="351">
        <f>D41*L41</f>
        <v>9470</v>
      </c>
      <c r="N41" s="258"/>
      <c r="O41" s="258"/>
      <c r="P41" s="258"/>
      <c r="Q41" s="258"/>
      <c r="R41" s="258"/>
    </row>
    <row r="42" spans="1:18" ht="14.15" customHeight="1" x14ac:dyDescent="0.3">
      <c r="A42" s="341"/>
      <c r="B42" s="386"/>
      <c r="C42" s="103"/>
      <c r="D42" s="1"/>
      <c r="E42" s="36"/>
      <c r="F42" s="41"/>
      <c r="G42" s="348"/>
      <c r="H42" s="348"/>
      <c r="I42" s="79"/>
      <c r="J42" s="79"/>
      <c r="K42" s="349"/>
      <c r="L42" s="350"/>
      <c r="M42" s="351"/>
      <c r="N42" s="258"/>
      <c r="O42" s="258"/>
      <c r="P42" s="258"/>
      <c r="Q42" s="258"/>
      <c r="R42" s="258"/>
    </row>
    <row r="43" spans="1:18" ht="14.15" customHeight="1" x14ac:dyDescent="0.3">
      <c r="A43" s="341" t="s">
        <v>122</v>
      </c>
      <c r="B43" s="385" t="s">
        <v>123</v>
      </c>
      <c r="C43" s="30" t="s">
        <v>90</v>
      </c>
      <c r="D43" s="1">
        <v>0</v>
      </c>
      <c r="E43" s="36">
        <v>1800</v>
      </c>
      <c r="F43" s="41">
        <v>0.2</v>
      </c>
      <c r="G43" s="348">
        <f>E43/(1-F43)</f>
        <v>2250</v>
      </c>
      <c r="H43" s="348">
        <f>(250+100)*4</f>
        <v>1400</v>
      </c>
      <c r="I43" s="83">
        <v>0.15</v>
      </c>
      <c r="J43" s="79">
        <f>H43*(1+I43)</f>
        <v>1609.9999999999998</v>
      </c>
      <c r="K43" s="349">
        <f>J43*D43</f>
        <v>0</v>
      </c>
      <c r="L43" s="350">
        <f>G43+J43</f>
        <v>3860</v>
      </c>
      <c r="M43" s="351">
        <f>D43*L43</f>
        <v>0</v>
      </c>
      <c r="N43" s="258"/>
      <c r="O43" s="258"/>
      <c r="P43" s="258"/>
      <c r="Q43" s="258"/>
      <c r="R43" s="258"/>
    </row>
    <row r="44" spans="1:18" ht="14.15" customHeight="1" x14ac:dyDescent="0.3">
      <c r="A44" s="341"/>
      <c r="B44" s="385"/>
      <c r="C44" s="30"/>
      <c r="D44" s="1"/>
      <c r="E44" s="36"/>
      <c r="F44" s="41"/>
      <c r="G44" s="348"/>
      <c r="H44" s="348"/>
      <c r="I44" s="79"/>
      <c r="J44" s="79"/>
      <c r="K44" s="349"/>
      <c r="L44" s="350"/>
      <c r="M44" s="351"/>
      <c r="N44" s="258"/>
      <c r="O44" s="258"/>
      <c r="P44" s="258"/>
      <c r="Q44" s="258"/>
      <c r="R44" s="258"/>
    </row>
    <row r="45" spans="1:18" ht="14.15" customHeight="1" x14ac:dyDescent="0.3">
      <c r="A45" s="341" t="s">
        <v>124</v>
      </c>
      <c r="B45" s="385" t="s">
        <v>125</v>
      </c>
      <c r="C45" s="30" t="s">
        <v>90</v>
      </c>
      <c r="D45" s="1">
        <f>2 + N("Isolators")</f>
        <v>2</v>
      </c>
      <c r="E45" s="36">
        <v>1734.1</v>
      </c>
      <c r="F45" s="41">
        <v>0.2</v>
      </c>
      <c r="G45" s="348">
        <f>E45/(1-F45)</f>
        <v>2167.6249999999995</v>
      </c>
      <c r="H45" s="348">
        <f>(250+100)*4</f>
        <v>1400</v>
      </c>
      <c r="I45" s="83">
        <v>0.15</v>
      </c>
      <c r="J45" s="79">
        <f>H45*(1+I45)</f>
        <v>1609.9999999999998</v>
      </c>
      <c r="K45" s="349">
        <f>J45*D45</f>
        <v>3219.9999999999995</v>
      </c>
      <c r="L45" s="350">
        <f>G45+J45</f>
        <v>3777.6249999999991</v>
      </c>
      <c r="M45" s="351">
        <f>D45*L45</f>
        <v>7555.2499999999982</v>
      </c>
      <c r="N45" s="258"/>
      <c r="O45" s="258"/>
      <c r="P45" s="258"/>
      <c r="Q45" s="258"/>
      <c r="R45" s="258"/>
    </row>
    <row r="46" spans="1:18" ht="14.15" customHeight="1" x14ac:dyDescent="0.3">
      <c r="A46" s="341"/>
      <c r="B46" s="387"/>
      <c r="C46" s="103"/>
      <c r="D46" s="1"/>
      <c r="E46" s="36"/>
      <c r="F46" s="41"/>
      <c r="G46" s="348"/>
      <c r="H46" s="348"/>
      <c r="I46" s="79"/>
      <c r="J46" s="79"/>
      <c r="K46" s="349"/>
      <c r="L46" s="350"/>
      <c r="M46" s="351"/>
      <c r="N46" s="258"/>
      <c r="O46" s="258"/>
      <c r="P46" s="258"/>
      <c r="Q46" s="258"/>
      <c r="R46" s="258"/>
    </row>
    <row r="47" spans="1:18" ht="14.5" customHeight="1" thickBot="1" x14ac:dyDescent="0.35">
      <c r="A47" s="381" t="s">
        <v>126</v>
      </c>
      <c r="B47" s="388" t="s">
        <v>127</v>
      </c>
      <c r="C47" s="49" t="s">
        <v>90</v>
      </c>
      <c r="D47" s="50">
        <v>1</v>
      </c>
      <c r="E47" s="51">
        <f>550*1.2</f>
        <v>660</v>
      </c>
      <c r="F47" s="52">
        <v>0.2</v>
      </c>
      <c r="G47" s="376">
        <f>E47/(1-F47)</f>
        <v>825</v>
      </c>
      <c r="H47" s="376">
        <f>(250+100)*4</f>
        <v>1400</v>
      </c>
      <c r="I47" s="83">
        <v>0.15</v>
      </c>
      <c r="J47" s="79">
        <f>H47*(1+I47)</f>
        <v>1609.9999999999998</v>
      </c>
      <c r="K47" s="349">
        <f>J47*D47</f>
        <v>1609.9999999999998</v>
      </c>
      <c r="L47" s="350">
        <f>G47+J47</f>
        <v>2435</v>
      </c>
      <c r="M47" s="378">
        <f>D47*L47</f>
        <v>2435</v>
      </c>
      <c r="N47" s="258"/>
      <c r="O47" s="258"/>
      <c r="P47" s="258"/>
      <c r="Q47" s="258"/>
      <c r="R47" s="258"/>
    </row>
    <row r="48" spans="1:18" ht="14.5" customHeight="1" thickBot="1" x14ac:dyDescent="0.35">
      <c r="A48" s="354"/>
      <c r="B48" s="355"/>
      <c r="C48" s="97"/>
      <c r="D48" s="72"/>
      <c r="E48" s="73"/>
      <c r="F48" s="74"/>
      <c r="G48" s="356"/>
      <c r="H48" s="356"/>
      <c r="I48" s="73"/>
      <c r="J48" s="73"/>
      <c r="K48" s="357"/>
      <c r="L48" s="358"/>
      <c r="M48" s="358"/>
      <c r="N48" s="258"/>
      <c r="O48" s="258"/>
      <c r="P48" s="258"/>
      <c r="Q48" s="258"/>
      <c r="R48" s="258"/>
    </row>
    <row r="49" spans="1:18" ht="16.5" customHeight="1" x14ac:dyDescent="0.3">
      <c r="A49" s="359">
        <v>2.9</v>
      </c>
      <c r="B49" s="367"/>
      <c r="C49" s="255"/>
      <c r="D49" s="58" t="s">
        <v>128</v>
      </c>
      <c r="E49" s="56"/>
      <c r="F49" s="57"/>
      <c r="G49" s="361"/>
      <c r="H49" s="361"/>
      <c r="I49" s="56"/>
      <c r="J49" s="56"/>
      <c r="K49" s="362"/>
      <c r="L49" s="363"/>
      <c r="M49" s="363"/>
      <c r="N49" s="258"/>
      <c r="O49" s="258"/>
      <c r="P49" s="258"/>
      <c r="Q49" s="258"/>
      <c r="R49" s="258"/>
    </row>
    <row r="50" spans="1:18" ht="16.5" customHeight="1" x14ac:dyDescent="0.3">
      <c r="A50" s="341"/>
      <c r="B50" s="342"/>
      <c r="C50" s="30"/>
      <c r="D50" s="1"/>
      <c r="E50" s="36"/>
      <c r="F50" s="41"/>
      <c r="G50" s="348"/>
      <c r="H50" s="348"/>
      <c r="I50" s="79"/>
      <c r="J50" s="79"/>
      <c r="K50" s="349"/>
      <c r="L50" s="350"/>
      <c r="M50" s="351"/>
      <c r="N50" s="258"/>
      <c r="O50" s="258"/>
      <c r="P50" s="258"/>
      <c r="Q50" s="258"/>
      <c r="R50" s="258"/>
    </row>
    <row r="51" spans="1:18" ht="14.15" customHeight="1" x14ac:dyDescent="0.3">
      <c r="A51" s="341" t="s">
        <v>129</v>
      </c>
      <c r="B51" s="385" t="s">
        <v>130</v>
      </c>
      <c r="C51" s="30" t="s">
        <v>90</v>
      </c>
      <c r="D51" s="1">
        <v>0</v>
      </c>
      <c r="E51" s="36">
        <v>2500</v>
      </c>
      <c r="F51" s="41">
        <v>0.2</v>
      </c>
      <c r="G51" s="348">
        <f>E51/(1-F51)</f>
        <v>3125</v>
      </c>
      <c r="H51" s="348">
        <f>250*1</f>
        <v>250</v>
      </c>
      <c r="I51" s="83">
        <v>0.15</v>
      </c>
      <c r="J51" s="79">
        <f>H51*(1+I51)</f>
        <v>287.5</v>
      </c>
      <c r="K51" s="349">
        <f>J51*D51</f>
        <v>0</v>
      </c>
      <c r="L51" s="350">
        <f>G51+J51</f>
        <v>3412.5</v>
      </c>
      <c r="M51" s="351">
        <f>D51*L51</f>
        <v>0</v>
      </c>
      <c r="N51" s="258"/>
      <c r="O51" s="258"/>
      <c r="P51" s="353"/>
      <c r="Q51" s="258"/>
      <c r="R51" s="258"/>
    </row>
    <row r="52" spans="1:18" ht="14.15" customHeight="1" x14ac:dyDescent="0.3">
      <c r="A52" s="341"/>
      <c r="B52" s="385"/>
      <c r="C52" s="30"/>
      <c r="D52" s="1"/>
      <c r="E52" s="36"/>
      <c r="F52" s="41"/>
      <c r="G52" s="348"/>
      <c r="H52" s="348"/>
      <c r="I52" s="79"/>
      <c r="J52" s="79"/>
      <c r="K52" s="349"/>
      <c r="L52" s="350"/>
      <c r="M52" s="351"/>
      <c r="N52" s="258"/>
      <c r="O52" s="258"/>
      <c r="P52" s="353"/>
      <c r="Q52" s="258"/>
      <c r="R52" s="258"/>
    </row>
    <row r="53" spans="1:18" ht="14.15" customHeight="1" x14ac:dyDescent="0.3">
      <c r="A53" s="341" t="s">
        <v>131</v>
      </c>
      <c r="B53" s="385" t="s">
        <v>132</v>
      </c>
      <c r="C53" s="30" t="s">
        <v>90</v>
      </c>
      <c r="D53" s="1">
        <v>3</v>
      </c>
      <c r="E53" s="36">
        <v>5729</v>
      </c>
      <c r="F53" s="41">
        <v>0.2</v>
      </c>
      <c r="G53" s="348">
        <f>E53/(1-F53)</f>
        <v>7161.25</v>
      </c>
      <c r="H53" s="348">
        <v>250</v>
      </c>
      <c r="I53" s="83">
        <v>0.15</v>
      </c>
      <c r="J53" s="79">
        <f>H53*(1+I53)</f>
        <v>287.5</v>
      </c>
      <c r="K53" s="349">
        <f>J53*D53</f>
        <v>862.5</v>
      </c>
      <c r="L53" s="350">
        <f>G53+J53</f>
        <v>7448.75</v>
      </c>
      <c r="M53" s="351">
        <f>D53*L53</f>
        <v>22346.25</v>
      </c>
      <c r="N53" s="258"/>
      <c r="O53" s="353"/>
      <c r="P53" s="258"/>
      <c r="Q53" s="258"/>
      <c r="R53" s="258"/>
    </row>
    <row r="54" spans="1:18" ht="14.15" customHeight="1" x14ac:dyDescent="0.3">
      <c r="A54" s="341"/>
      <c r="B54" s="387"/>
      <c r="C54" s="103"/>
      <c r="D54" s="1"/>
      <c r="E54" s="36"/>
      <c r="F54" s="41"/>
      <c r="G54" s="348"/>
      <c r="H54" s="348"/>
      <c r="I54" s="79"/>
      <c r="J54" s="79"/>
      <c r="K54" s="349"/>
      <c r="L54" s="350"/>
      <c r="M54" s="351"/>
      <c r="N54" s="258"/>
      <c r="O54" s="258"/>
      <c r="P54" s="258"/>
      <c r="Q54" s="258"/>
      <c r="R54" s="258"/>
    </row>
    <row r="55" spans="1:18" ht="28" customHeight="1" x14ac:dyDescent="0.3">
      <c r="A55" s="341" t="s">
        <v>133</v>
      </c>
      <c r="B55" s="387" t="s">
        <v>134</v>
      </c>
      <c r="C55" s="30" t="s">
        <v>90</v>
      </c>
      <c r="D55" s="1">
        <v>1</v>
      </c>
      <c r="E55" s="36">
        <f>5729</f>
        <v>5729</v>
      </c>
      <c r="F55" s="41">
        <v>0.2</v>
      </c>
      <c r="G55" s="348">
        <f>E55/(1-F55)</f>
        <v>7161.25</v>
      </c>
      <c r="H55" s="348">
        <v>250</v>
      </c>
      <c r="I55" s="83">
        <v>0.15</v>
      </c>
      <c r="J55" s="79">
        <f>H55*(1+I55)</f>
        <v>287.5</v>
      </c>
      <c r="K55" s="349">
        <f>J55*D55</f>
        <v>287.5</v>
      </c>
      <c r="L55" s="350">
        <f>G55+J55</f>
        <v>7448.75</v>
      </c>
      <c r="M55" s="351">
        <f>D55*L55</f>
        <v>7448.75</v>
      </c>
      <c r="N55" s="258"/>
      <c r="O55" s="258"/>
      <c r="P55" s="353"/>
      <c r="Q55" s="258"/>
      <c r="R55" s="258"/>
    </row>
    <row r="56" spans="1:18" ht="14.15" customHeight="1" x14ac:dyDescent="0.3">
      <c r="A56" s="341"/>
      <c r="B56" s="387"/>
      <c r="C56" s="96"/>
      <c r="D56" s="1"/>
      <c r="E56" s="36"/>
      <c r="F56" s="41"/>
      <c r="G56" s="348"/>
      <c r="H56" s="348"/>
      <c r="I56" s="79"/>
      <c r="J56" s="79"/>
      <c r="K56" s="349"/>
      <c r="L56" s="350"/>
      <c r="M56" s="351"/>
      <c r="N56" s="258"/>
      <c r="O56" s="258"/>
      <c r="P56" s="258"/>
      <c r="Q56" s="258"/>
      <c r="R56" s="258"/>
    </row>
    <row r="57" spans="1:18" ht="28" customHeight="1" x14ac:dyDescent="0.3">
      <c r="A57" s="341" t="s">
        <v>135</v>
      </c>
      <c r="B57" s="385" t="s">
        <v>136</v>
      </c>
      <c r="C57" s="30" t="s">
        <v>90</v>
      </c>
      <c r="D57" s="1">
        <v>3</v>
      </c>
      <c r="E57" s="36">
        <v>350</v>
      </c>
      <c r="F57" s="41">
        <v>0.2</v>
      </c>
      <c r="G57" s="348">
        <f>E57/(1-F57)</f>
        <v>437.5</v>
      </c>
      <c r="H57" s="348">
        <v>250</v>
      </c>
      <c r="I57" s="83">
        <v>0.15</v>
      </c>
      <c r="J57" s="79">
        <f>H57*(1+I57)</f>
        <v>287.5</v>
      </c>
      <c r="K57" s="349">
        <f>J57*D57</f>
        <v>862.5</v>
      </c>
      <c r="L57" s="350">
        <f>G57+J57</f>
        <v>725</v>
      </c>
      <c r="M57" s="351">
        <f>D57*L57</f>
        <v>2175</v>
      </c>
      <c r="N57" s="258"/>
      <c r="O57" s="318"/>
      <c r="P57" s="258"/>
      <c r="Q57" s="258"/>
      <c r="R57" s="258"/>
    </row>
    <row r="58" spans="1:18" ht="14.15" customHeight="1" x14ac:dyDescent="0.3">
      <c r="A58" s="341"/>
      <c r="B58" s="387"/>
      <c r="C58" s="103"/>
      <c r="D58" s="1"/>
      <c r="E58" s="36"/>
      <c r="F58" s="41"/>
      <c r="G58" s="348"/>
      <c r="H58" s="348"/>
      <c r="I58" s="79"/>
      <c r="J58" s="79"/>
      <c r="K58" s="349"/>
      <c r="L58" s="350"/>
      <c r="M58" s="351"/>
      <c r="N58" s="258"/>
      <c r="O58" s="258"/>
      <c r="P58" s="258"/>
      <c r="Q58" s="258"/>
      <c r="R58" s="258"/>
    </row>
    <row r="59" spans="1:18" ht="28" customHeight="1" x14ac:dyDescent="0.3">
      <c r="A59" s="341" t="s">
        <v>137</v>
      </c>
      <c r="B59" s="385" t="s">
        <v>138</v>
      </c>
      <c r="C59" s="30" t="s">
        <v>108</v>
      </c>
      <c r="D59" s="1">
        <v>2</v>
      </c>
      <c r="E59" s="36">
        <f>35</f>
        <v>35</v>
      </c>
      <c r="F59" s="41">
        <v>0.2</v>
      </c>
      <c r="G59" s="348">
        <f>E59/(1-F59)</f>
        <v>43.75</v>
      </c>
      <c r="H59" s="348">
        <f>(65*3)</f>
        <v>195</v>
      </c>
      <c r="I59" s="83">
        <v>0.15</v>
      </c>
      <c r="J59" s="79">
        <f>H59*(1+I59)</f>
        <v>224.24999999999997</v>
      </c>
      <c r="K59" s="349">
        <f>J59*D59</f>
        <v>448.49999999999994</v>
      </c>
      <c r="L59" s="350">
        <f>G59+J59</f>
        <v>268</v>
      </c>
      <c r="M59" s="351">
        <f>D59*L59</f>
        <v>536</v>
      </c>
      <c r="N59" s="258"/>
      <c r="O59" s="318"/>
      <c r="P59" s="258"/>
      <c r="Q59" s="258"/>
      <c r="R59" s="258"/>
    </row>
    <row r="60" spans="1:18" ht="14.15" customHeight="1" x14ac:dyDescent="0.3">
      <c r="A60" s="341"/>
      <c r="B60" s="387"/>
      <c r="C60" s="96"/>
      <c r="D60" s="1"/>
      <c r="E60" s="36"/>
      <c r="F60" s="41"/>
      <c r="G60" s="348"/>
      <c r="H60" s="348"/>
      <c r="I60" s="79"/>
      <c r="J60" s="79"/>
      <c r="K60" s="349"/>
      <c r="L60" s="350"/>
      <c r="M60" s="351"/>
      <c r="N60" s="258"/>
      <c r="O60" s="258"/>
      <c r="P60" s="258"/>
      <c r="Q60" s="258"/>
      <c r="R60" s="258"/>
    </row>
    <row r="61" spans="1:18" ht="14.5" customHeight="1" thickBot="1" x14ac:dyDescent="0.35">
      <c r="A61" s="341" t="s">
        <v>139</v>
      </c>
      <c r="B61" s="385" t="s">
        <v>140</v>
      </c>
      <c r="C61" s="30" t="s">
        <v>42</v>
      </c>
      <c r="D61" s="1">
        <v>1</v>
      </c>
      <c r="E61" s="36">
        <v>1</v>
      </c>
      <c r="F61" s="41">
        <v>0.2</v>
      </c>
      <c r="G61" s="348">
        <f>E61/(1-F61)</f>
        <v>1.25</v>
      </c>
      <c r="H61" s="348">
        <f>2500*3</f>
        <v>7500</v>
      </c>
      <c r="I61" s="83">
        <v>0.15</v>
      </c>
      <c r="J61" s="79">
        <f>H61*(1+I61)</f>
        <v>8625</v>
      </c>
      <c r="K61" s="349">
        <f>J61*D61</f>
        <v>8625</v>
      </c>
      <c r="L61" s="350">
        <f>G61+J61</f>
        <v>8626.25</v>
      </c>
      <c r="M61" s="351">
        <f>D61*L61</f>
        <v>8626.25</v>
      </c>
      <c r="N61" s="258"/>
      <c r="O61" s="258"/>
      <c r="P61" s="258"/>
      <c r="Q61" s="258"/>
      <c r="R61" s="258"/>
    </row>
    <row r="62" spans="1:18" ht="14.5" customHeight="1" thickBot="1" x14ac:dyDescent="0.35">
      <c r="A62" s="354"/>
      <c r="B62" s="355"/>
      <c r="C62" s="97"/>
      <c r="D62" s="72"/>
      <c r="E62" s="73"/>
      <c r="F62" s="74"/>
      <c r="G62" s="356"/>
      <c r="H62" s="356"/>
      <c r="I62" s="73"/>
      <c r="J62" s="73"/>
      <c r="K62" s="357"/>
      <c r="L62" s="358"/>
      <c r="M62" s="358"/>
      <c r="N62" s="258"/>
      <c r="O62" s="258"/>
      <c r="P62" s="258"/>
      <c r="Q62" s="258"/>
      <c r="R62" s="258"/>
    </row>
    <row r="63" spans="1:18" ht="14.15" customHeight="1" x14ac:dyDescent="0.3">
      <c r="A63" s="389">
        <v>2.1</v>
      </c>
      <c r="B63" s="390"/>
      <c r="C63" s="251"/>
      <c r="D63" s="65" t="s">
        <v>141</v>
      </c>
      <c r="E63" s="53"/>
      <c r="F63" s="54"/>
      <c r="G63" s="391"/>
      <c r="H63" s="391"/>
      <c r="I63" s="53"/>
      <c r="J63" s="53"/>
      <c r="K63" s="392"/>
      <c r="L63" s="393"/>
      <c r="M63" s="393"/>
      <c r="N63" s="258"/>
      <c r="O63" s="258"/>
      <c r="P63" s="258"/>
      <c r="Q63" s="258"/>
      <c r="R63" s="258"/>
    </row>
    <row r="64" spans="1:18" ht="28" customHeight="1" x14ac:dyDescent="0.3">
      <c r="A64" s="370" t="s">
        <v>142</v>
      </c>
      <c r="B64" s="368" t="s">
        <v>143</v>
      </c>
      <c r="C64" s="3" t="s">
        <v>90</v>
      </c>
      <c r="D64" s="3">
        <v>3</v>
      </c>
      <c r="E64" s="37">
        <v>10000</v>
      </c>
      <c r="F64" s="41">
        <v>0.16</v>
      </c>
      <c r="G64" s="348">
        <f>E64/(1-F64)</f>
        <v>11904.761904761905</v>
      </c>
      <c r="H64" s="371">
        <v>200</v>
      </c>
      <c r="I64" s="83">
        <v>0.15</v>
      </c>
      <c r="J64" s="79">
        <f>H64*(1+I64)</f>
        <v>229.99999999999997</v>
      </c>
      <c r="K64" s="349">
        <f>J64*D64</f>
        <v>689.99999999999989</v>
      </c>
      <c r="L64" s="350">
        <f>G64+J64</f>
        <v>12134.761904761905</v>
      </c>
      <c r="M64" s="351">
        <f>D64*L64</f>
        <v>36404.28571428571</v>
      </c>
      <c r="N64" s="258"/>
      <c r="O64" s="258"/>
      <c r="P64" s="353"/>
      <c r="Q64" s="258"/>
      <c r="R64" s="258"/>
    </row>
    <row r="65" spans="1:18" ht="14.15" customHeight="1" x14ac:dyDescent="0.3">
      <c r="A65" s="394"/>
      <c r="B65" s="395"/>
      <c r="C65" s="30"/>
      <c r="D65" s="248"/>
      <c r="E65" s="36"/>
      <c r="F65" s="41"/>
      <c r="G65" s="348"/>
      <c r="H65" s="348"/>
      <c r="I65" s="79"/>
      <c r="J65" s="79"/>
      <c r="K65" s="349"/>
      <c r="L65" s="350"/>
      <c r="M65" s="351"/>
      <c r="N65" s="258"/>
      <c r="O65" s="258"/>
      <c r="P65" s="258"/>
      <c r="Q65" s="258"/>
      <c r="R65" s="258"/>
    </row>
    <row r="66" spans="1:18" ht="28.5" customHeight="1" thickBot="1" x14ac:dyDescent="0.35">
      <c r="A66" s="396" t="s">
        <v>144</v>
      </c>
      <c r="B66" s="375" t="s">
        <v>145</v>
      </c>
      <c r="C66" s="67" t="s">
        <v>90</v>
      </c>
      <c r="D66" s="67">
        <v>0</v>
      </c>
      <c r="E66" s="69">
        <v>7500</v>
      </c>
      <c r="F66" s="52">
        <v>0.16</v>
      </c>
      <c r="G66" s="376">
        <f>E66/(1-F66)</f>
        <v>8928.5714285714294</v>
      </c>
      <c r="H66" s="377">
        <v>200</v>
      </c>
      <c r="I66" s="83">
        <v>0.15</v>
      </c>
      <c r="J66" s="79">
        <f>H66*(1+I66)</f>
        <v>229.99999999999997</v>
      </c>
      <c r="K66" s="382">
        <f>J66*D66</f>
        <v>0</v>
      </c>
      <c r="L66" s="350">
        <f>G66+J66</f>
        <v>9158.5714285714294</v>
      </c>
      <c r="M66" s="378">
        <f>D66*L66</f>
        <v>0</v>
      </c>
      <c r="N66" s="258"/>
      <c r="O66" s="258"/>
      <c r="P66" s="353"/>
      <c r="Q66" s="258"/>
      <c r="R66" s="258"/>
    </row>
    <row r="67" spans="1:18" ht="14.5" customHeight="1" thickBot="1" x14ac:dyDescent="0.35">
      <c r="A67" s="397"/>
      <c r="B67" s="398"/>
      <c r="C67" s="97"/>
      <c r="D67" s="72"/>
      <c r="E67" s="73"/>
      <c r="F67" s="74"/>
      <c r="G67" s="356"/>
      <c r="H67" s="356"/>
      <c r="I67" s="73"/>
      <c r="J67" s="73"/>
      <c r="K67" s="357"/>
      <c r="L67" s="358"/>
      <c r="M67" s="358"/>
      <c r="N67" s="258"/>
      <c r="O67" s="258"/>
      <c r="P67" s="258"/>
      <c r="Q67" s="258"/>
      <c r="R67" s="258"/>
    </row>
    <row r="68" spans="1:18" ht="14.15" customHeight="1" x14ac:dyDescent="0.3">
      <c r="A68" s="359">
        <v>2.11</v>
      </c>
      <c r="B68" s="399"/>
      <c r="C68" s="100"/>
      <c r="D68" s="58" t="s">
        <v>146</v>
      </c>
      <c r="E68" s="56"/>
      <c r="F68" s="57"/>
      <c r="G68" s="361"/>
      <c r="H68" s="361"/>
      <c r="I68" s="56"/>
      <c r="J68" s="56"/>
      <c r="K68" s="362"/>
      <c r="L68" s="363"/>
      <c r="M68" s="363"/>
      <c r="N68" s="258"/>
      <c r="O68" s="258"/>
      <c r="P68" s="258"/>
      <c r="Q68" s="258"/>
      <c r="R68" s="258"/>
    </row>
    <row r="69" spans="1:18" ht="14.15" customHeight="1" x14ac:dyDescent="0.3">
      <c r="A69" s="341"/>
      <c r="B69" s="368"/>
      <c r="C69" s="104"/>
      <c r="D69" s="1"/>
      <c r="E69" s="36"/>
      <c r="F69" s="41"/>
      <c r="G69" s="348"/>
      <c r="H69" s="348"/>
      <c r="I69" s="79"/>
      <c r="J69" s="79"/>
      <c r="K69" s="349"/>
      <c r="L69" s="350"/>
      <c r="M69" s="351"/>
      <c r="N69" s="258"/>
      <c r="O69" s="258"/>
      <c r="P69" s="258"/>
      <c r="Q69" s="258"/>
      <c r="R69" s="258"/>
    </row>
    <row r="70" spans="1:18" ht="14.15" customHeight="1" x14ac:dyDescent="0.3">
      <c r="A70" s="341"/>
      <c r="B70" s="373" t="s">
        <v>147</v>
      </c>
      <c r="C70" s="103"/>
      <c r="D70" s="1"/>
      <c r="E70" s="36"/>
      <c r="F70" s="41"/>
      <c r="G70" s="348"/>
      <c r="H70" s="348"/>
      <c r="I70" s="79"/>
      <c r="J70" s="79"/>
      <c r="K70" s="349"/>
      <c r="L70" s="350"/>
      <c r="M70" s="351"/>
      <c r="N70" s="258"/>
      <c r="O70" s="258"/>
      <c r="P70" s="258"/>
      <c r="Q70" s="258"/>
      <c r="R70" s="258"/>
    </row>
    <row r="71" spans="1:18" ht="14.15" customHeight="1" x14ac:dyDescent="0.3">
      <c r="A71" s="341"/>
      <c r="B71" s="386"/>
      <c r="C71" s="103"/>
      <c r="D71" s="1"/>
      <c r="E71" s="36"/>
      <c r="F71" s="41"/>
      <c r="G71" s="348"/>
      <c r="H71" s="348"/>
      <c r="I71" s="79"/>
      <c r="J71" s="79"/>
      <c r="K71" s="349"/>
      <c r="L71" s="350"/>
      <c r="M71" s="351"/>
      <c r="N71" s="258"/>
      <c r="O71" s="258"/>
      <c r="P71" s="258"/>
      <c r="Q71" s="258"/>
      <c r="R71" s="258"/>
    </row>
    <row r="72" spans="1:18" ht="42" customHeight="1" x14ac:dyDescent="0.3">
      <c r="A72" s="341"/>
      <c r="B72" s="386" t="s">
        <v>148</v>
      </c>
      <c r="C72" s="103"/>
      <c r="D72" s="248"/>
      <c r="E72" s="36"/>
      <c r="F72" s="41"/>
      <c r="G72" s="348"/>
      <c r="H72" s="348"/>
      <c r="I72" s="79"/>
      <c r="J72" s="79"/>
      <c r="K72" s="349"/>
      <c r="L72" s="350"/>
      <c r="M72" s="351"/>
      <c r="N72" s="258"/>
      <c r="O72" s="258"/>
      <c r="P72" s="258"/>
      <c r="Q72" s="258"/>
      <c r="R72" s="258"/>
    </row>
    <row r="73" spans="1:18" ht="14.15" customHeight="1" x14ac:dyDescent="0.3">
      <c r="A73" s="384"/>
      <c r="B73" s="373"/>
      <c r="C73" s="103"/>
      <c r="D73" s="28"/>
      <c r="E73" s="38"/>
      <c r="F73" s="41"/>
      <c r="G73" s="348"/>
      <c r="H73" s="400"/>
      <c r="I73" s="81"/>
      <c r="J73" s="81"/>
      <c r="K73" s="349"/>
      <c r="L73" s="350"/>
      <c r="M73" s="351"/>
      <c r="N73" s="258"/>
      <c r="O73" s="258"/>
      <c r="P73" s="258"/>
      <c r="Q73" s="258"/>
      <c r="R73" s="258"/>
    </row>
    <row r="74" spans="1:18" ht="14.15" customHeight="1" x14ac:dyDescent="0.3">
      <c r="A74" s="341" t="s">
        <v>149</v>
      </c>
      <c r="B74" s="373" t="s">
        <v>150</v>
      </c>
      <c r="C74" s="103" t="s">
        <v>108</v>
      </c>
      <c r="D74" s="1">
        <v>12</v>
      </c>
      <c r="E74" s="36">
        <v>947.75</v>
      </c>
      <c r="F74" s="41">
        <v>0.25</v>
      </c>
      <c r="G74" s="348">
        <f t="shared" ref="G74:G79" si="0">E74/(1-F74)</f>
        <v>1263.6666666666667</v>
      </c>
      <c r="H74" s="348">
        <v>25</v>
      </c>
      <c r="I74" s="83">
        <v>0.15</v>
      </c>
      <c r="J74" s="79">
        <f t="shared" ref="J74:J79" si="1">H74*(1+I74)</f>
        <v>28.749999999999996</v>
      </c>
      <c r="K74" s="349">
        <f t="shared" ref="K74:K79" si="2">J74*D74</f>
        <v>344.99999999999994</v>
      </c>
      <c r="L74" s="350">
        <f t="shared" ref="L74:L79" si="3">G74+J74</f>
        <v>1292.4166666666667</v>
      </c>
      <c r="M74" s="351">
        <f t="shared" ref="M74:M79" si="4">D74*L74</f>
        <v>15509</v>
      </c>
      <c r="N74" s="258"/>
      <c r="O74" s="258"/>
      <c r="P74" s="258"/>
      <c r="Q74" s="258"/>
      <c r="R74" s="258"/>
    </row>
    <row r="75" spans="1:18" ht="14.15" customHeight="1" x14ac:dyDescent="0.3">
      <c r="A75" s="341" t="s">
        <v>151</v>
      </c>
      <c r="B75" s="373" t="s">
        <v>152</v>
      </c>
      <c r="C75" s="103" t="s">
        <v>108</v>
      </c>
      <c r="D75" s="1">
        <v>0</v>
      </c>
      <c r="E75" s="36">
        <v>686.12</v>
      </c>
      <c r="F75" s="41">
        <v>0.25</v>
      </c>
      <c r="G75" s="348">
        <f t="shared" si="0"/>
        <v>914.82666666666671</v>
      </c>
      <c r="H75" s="348">
        <v>25</v>
      </c>
      <c r="I75" s="83">
        <v>0.15</v>
      </c>
      <c r="J75" s="79">
        <f t="shared" si="1"/>
        <v>28.749999999999996</v>
      </c>
      <c r="K75" s="349">
        <f t="shared" si="2"/>
        <v>0</v>
      </c>
      <c r="L75" s="350">
        <f t="shared" si="3"/>
        <v>943.57666666666671</v>
      </c>
      <c r="M75" s="351">
        <f t="shared" si="4"/>
        <v>0</v>
      </c>
      <c r="N75" s="258"/>
      <c r="O75" s="258"/>
      <c r="P75" s="258"/>
      <c r="Q75" s="258"/>
      <c r="R75" s="258"/>
    </row>
    <row r="76" spans="1:18" ht="14.15" customHeight="1" x14ac:dyDescent="0.3">
      <c r="A76" s="341" t="s">
        <v>153</v>
      </c>
      <c r="B76" s="373" t="s">
        <v>154</v>
      </c>
      <c r="C76" s="103" t="s">
        <v>108</v>
      </c>
      <c r="D76" s="1">
        <v>0</v>
      </c>
      <c r="E76" s="36">
        <v>634</v>
      </c>
      <c r="F76" s="41">
        <v>0.25</v>
      </c>
      <c r="G76" s="348">
        <f t="shared" si="0"/>
        <v>845.33333333333337</v>
      </c>
      <c r="H76" s="348">
        <v>25</v>
      </c>
      <c r="I76" s="83">
        <v>0.15</v>
      </c>
      <c r="J76" s="79">
        <f t="shared" si="1"/>
        <v>28.749999999999996</v>
      </c>
      <c r="K76" s="349">
        <f t="shared" si="2"/>
        <v>0</v>
      </c>
      <c r="L76" s="350">
        <f t="shared" si="3"/>
        <v>874.08333333333337</v>
      </c>
      <c r="M76" s="351">
        <f t="shared" si="4"/>
        <v>0</v>
      </c>
      <c r="N76" s="258"/>
      <c r="O76" s="258"/>
      <c r="P76" s="258"/>
      <c r="Q76" s="258"/>
      <c r="R76" s="258"/>
    </row>
    <row r="77" spans="1:18" ht="14.15" customHeight="1" x14ac:dyDescent="0.3">
      <c r="A77" s="341" t="s">
        <v>155</v>
      </c>
      <c r="B77" s="373" t="s">
        <v>156</v>
      </c>
      <c r="C77" s="96" t="s">
        <v>108</v>
      </c>
      <c r="D77" s="1">
        <v>0</v>
      </c>
      <c r="E77" s="36">
        <v>450</v>
      </c>
      <c r="F77" s="41">
        <v>0.25</v>
      </c>
      <c r="G77" s="348">
        <f t="shared" si="0"/>
        <v>600</v>
      </c>
      <c r="H77" s="348">
        <v>25</v>
      </c>
      <c r="I77" s="83">
        <v>0.15</v>
      </c>
      <c r="J77" s="79">
        <f t="shared" si="1"/>
        <v>28.749999999999996</v>
      </c>
      <c r="K77" s="349">
        <f t="shared" si="2"/>
        <v>0</v>
      </c>
      <c r="L77" s="350">
        <f t="shared" si="3"/>
        <v>628.75</v>
      </c>
      <c r="M77" s="351">
        <f t="shared" si="4"/>
        <v>0</v>
      </c>
      <c r="N77" s="258"/>
      <c r="O77" s="258"/>
      <c r="P77" s="258"/>
      <c r="Q77" s="258"/>
      <c r="R77" s="258"/>
    </row>
    <row r="78" spans="1:18" ht="14.15" customHeight="1" x14ac:dyDescent="0.3">
      <c r="A78" s="341" t="s">
        <v>157</v>
      </c>
      <c r="B78" s="373" t="s">
        <v>158</v>
      </c>
      <c r="C78" s="96" t="s">
        <v>108</v>
      </c>
      <c r="D78" s="1">
        <v>0</v>
      </c>
      <c r="E78" s="36">
        <v>380</v>
      </c>
      <c r="F78" s="41">
        <v>0.25</v>
      </c>
      <c r="G78" s="348">
        <f t="shared" si="0"/>
        <v>506.66666666666669</v>
      </c>
      <c r="H78" s="348">
        <v>25</v>
      </c>
      <c r="I78" s="83">
        <v>0.15</v>
      </c>
      <c r="J78" s="79">
        <f t="shared" si="1"/>
        <v>28.749999999999996</v>
      </c>
      <c r="K78" s="349">
        <f t="shared" si="2"/>
        <v>0</v>
      </c>
      <c r="L78" s="350">
        <f t="shared" si="3"/>
        <v>535.41666666666663</v>
      </c>
      <c r="M78" s="351">
        <f t="shared" si="4"/>
        <v>0</v>
      </c>
      <c r="N78" s="258"/>
      <c r="O78" s="258"/>
      <c r="P78" s="258"/>
      <c r="Q78" s="258"/>
      <c r="R78" s="258"/>
    </row>
    <row r="79" spans="1:18" ht="14.5" customHeight="1" thickBot="1" x14ac:dyDescent="0.35">
      <c r="A79" s="381" t="s">
        <v>159</v>
      </c>
      <c r="B79" s="375" t="s">
        <v>160</v>
      </c>
      <c r="C79" s="99" t="s">
        <v>108</v>
      </c>
      <c r="D79" s="50">
        <v>0</v>
      </c>
      <c r="E79" s="51">
        <f>215</f>
        <v>215</v>
      </c>
      <c r="F79" s="52">
        <v>0.25</v>
      </c>
      <c r="G79" s="376">
        <f t="shared" si="0"/>
        <v>286.66666666666669</v>
      </c>
      <c r="H79" s="376">
        <v>25</v>
      </c>
      <c r="I79" s="83">
        <v>0.15</v>
      </c>
      <c r="J79" s="79">
        <f t="shared" si="1"/>
        <v>28.749999999999996</v>
      </c>
      <c r="K79" s="349">
        <f t="shared" si="2"/>
        <v>0</v>
      </c>
      <c r="L79" s="350">
        <f t="shared" si="3"/>
        <v>315.41666666666669</v>
      </c>
      <c r="M79" s="378">
        <f t="shared" si="4"/>
        <v>0</v>
      </c>
      <c r="N79" s="258"/>
      <c r="O79" s="258"/>
      <c r="P79" s="258"/>
      <c r="Q79" s="258"/>
      <c r="R79" s="258"/>
    </row>
    <row r="80" spans="1:18" ht="14.5" customHeight="1" thickBot="1" x14ac:dyDescent="0.35">
      <c r="A80" s="397"/>
      <c r="B80" s="398"/>
      <c r="C80" s="97"/>
      <c r="D80" s="72"/>
      <c r="E80" s="73"/>
      <c r="F80" s="74"/>
      <c r="G80" s="356"/>
      <c r="H80" s="356"/>
      <c r="I80" s="73"/>
      <c r="J80" s="73"/>
      <c r="K80" s="357"/>
      <c r="L80" s="358"/>
      <c r="M80" s="358"/>
      <c r="N80" s="258"/>
      <c r="O80" s="258"/>
      <c r="P80" s="258"/>
      <c r="Q80" s="258"/>
      <c r="R80" s="258"/>
    </row>
    <row r="81" spans="1:18" ht="14.15" customHeight="1" x14ac:dyDescent="0.3">
      <c r="A81" s="359">
        <v>2.12</v>
      </c>
      <c r="B81" s="399"/>
      <c r="C81" s="100"/>
      <c r="D81" s="58" t="s">
        <v>161</v>
      </c>
      <c r="E81" s="56"/>
      <c r="F81" s="57"/>
      <c r="G81" s="361"/>
      <c r="H81" s="361"/>
      <c r="I81" s="56"/>
      <c r="J81" s="56"/>
      <c r="K81" s="362"/>
      <c r="L81" s="363"/>
      <c r="M81" s="363"/>
      <c r="N81" s="258"/>
      <c r="O81" s="258"/>
      <c r="P81" s="258"/>
      <c r="Q81" s="258"/>
      <c r="R81" s="258"/>
    </row>
    <row r="82" spans="1:18" ht="14.15" customHeight="1" x14ac:dyDescent="0.3">
      <c r="A82" s="341"/>
      <c r="B82" s="368"/>
      <c r="C82" s="96"/>
      <c r="D82" s="1"/>
      <c r="E82" s="36"/>
      <c r="F82" s="41"/>
      <c r="G82" s="348"/>
      <c r="H82" s="348"/>
      <c r="I82" s="79"/>
      <c r="J82" s="79"/>
      <c r="K82" s="349"/>
      <c r="L82" s="350"/>
      <c r="M82" s="351"/>
      <c r="N82" s="258"/>
      <c r="O82" s="258"/>
      <c r="P82" s="258"/>
      <c r="Q82" s="258"/>
      <c r="R82" s="258"/>
    </row>
    <row r="83" spans="1:18" ht="14.15" customHeight="1" x14ac:dyDescent="0.3">
      <c r="A83" s="341" t="s">
        <v>162</v>
      </c>
      <c r="B83" s="373" t="s">
        <v>163</v>
      </c>
      <c r="C83" s="96" t="s">
        <v>108</v>
      </c>
      <c r="D83" s="1">
        <v>8</v>
      </c>
      <c r="E83" s="36">
        <v>109.45</v>
      </c>
      <c r="F83" s="41">
        <v>0.2</v>
      </c>
      <c r="G83" s="348">
        <f>E83/(1-F83)</f>
        <v>136.8125</v>
      </c>
      <c r="H83" s="348">
        <v>50</v>
      </c>
      <c r="I83" s="83">
        <v>0.15</v>
      </c>
      <c r="J83" s="79">
        <f>H83*(1+I83)</f>
        <v>57.499999999999993</v>
      </c>
      <c r="K83" s="349">
        <f>J83*D83</f>
        <v>459.99999999999994</v>
      </c>
      <c r="L83" s="350">
        <f>G83+J83</f>
        <v>194.3125</v>
      </c>
      <c r="M83" s="351">
        <f>D83*L83</f>
        <v>1554.5</v>
      </c>
      <c r="N83" s="258"/>
      <c r="O83" s="258"/>
      <c r="P83" s="258"/>
      <c r="Q83" s="258"/>
      <c r="R83" s="258"/>
    </row>
    <row r="84" spans="1:18" ht="14.15" customHeight="1" x14ac:dyDescent="0.3">
      <c r="A84" s="341"/>
      <c r="B84" s="373" t="s">
        <v>164</v>
      </c>
      <c r="C84" s="96" t="s">
        <v>108</v>
      </c>
      <c r="D84" s="1">
        <v>0</v>
      </c>
      <c r="E84" s="36">
        <v>70.599999999999994</v>
      </c>
      <c r="F84" s="41">
        <v>0.2</v>
      </c>
      <c r="G84" s="348">
        <f>E84/(1-F84)</f>
        <v>88.249999999999986</v>
      </c>
      <c r="H84" s="348">
        <v>50</v>
      </c>
      <c r="I84" s="83">
        <v>0.15</v>
      </c>
      <c r="J84" s="79">
        <f>H84*(1+I84)</f>
        <v>57.499999999999993</v>
      </c>
      <c r="K84" s="349">
        <f>J84*D84</f>
        <v>0</v>
      </c>
      <c r="L84" s="350">
        <f>G84+J84</f>
        <v>145.74999999999997</v>
      </c>
      <c r="M84" s="351">
        <f>D84*L84</f>
        <v>0</v>
      </c>
      <c r="N84" s="258"/>
      <c r="O84" s="258"/>
      <c r="P84" s="258"/>
      <c r="Q84" s="258"/>
      <c r="R84" s="258"/>
    </row>
    <row r="85" spans="1:18" ht="14.5" customHeight="1" thickBot="1" x14ac:dyDescent="0.35">
      <c r="A85" s="381"/>
      <c r="B85" s="375" t="s">
        <v>165</v>
      </c>
      <c r="C85" s="99" t="s">
        <v>108</v>
      </c>
      <c r="D85" s="50">
        <v>0</v>
      </c>
      <c r="E85" s="51">
        <v>22.91</v>
      </c>
      <c r="F85" s="52">
        <v>0.2</v>
      </c>
      <c r="G85" s="376">
        <f>E85/(1-F85)</f>
        <v>28.637499999999999</v>
      </c>
      <c r="H85" s="376">
        <v>50</v>
      </c>
      <c r="I85" s="83">
        <v>0.15</v>
      </c>
      <c r="J85" s="79">
        <f>H85*(1+I85)</f>
        <v>57.499999999999993</v>
      </c>
      <c r="K85" s="349">
        <f>J85*D85</f>
        <v>0</v>
      </c>
      <c r="L85" s="350">
        <f>G85+J85</f>
        <v>86.137499999999989</v>
      </c>
      <c r="M85" s="378">
        <f>D85*L85</f>
        <v>0</v>
      </c>
      <c r="N85" s="258"/>
      <c r="O85" s="258"/>
      <c r="P85" s="258"/>
      <c r="Q85" s="258"/>
      <c r="R85" s="258"/>
    </row>
    <row r="86" spans="1:18" ht="14.5" customHeight="1" thickBot="1" x14ac:dyDescent="0.35">
      <c r="A86" s="397"/>
      <c r="B86" s="398"/>
      <c r="C86" s="97"/>
      <c r="D86" s="72"/>
      <c r="E86" s="73"/>
      <c r="F86" s="74"/>
      <c r="G86" s="356"/>
      <c r="H86" s="356"/>
      <c r="I86" s="73"/>
      <c r="J86" s="73"/>
      <c r="K86" s="357"/>
      <c r="L86" s="358"/>
      <c r="M86" s="358"/>
      <c r="N86" s="258"/>
      <c r="O86" s="258"/>
      <c r="P86" s="258"/>
      <c r="Q86" s="258"/>
      <c r="R86" s="258"/>
    </row>
    <row r="87" spans="1:18" ht="14.15" customHeight="1" x14ac:dyDescent="0.3">
      <c r="A87" s="359">
        <v>2.13</v>
      </c>
      <c r="B87" s="399"/>
      <c r="C87" s="100"/>
      <c r="D87" s="58" t="s">
        <v>166</v>
      </c>
      <c r="E87" s="56"/>
      <c r="F87" s="57"/>
      <c r="G87" s="361"/>
      <c r="H87" s="361"/>
      <c r="I87" s="56"/>
      <c r="J87" s="56"/>
      <c r="K87" s="362"/>
      <c r="L87" s="363"/>
      <c r="M87" s="363"/>
      <c r="N87" s="258"/>
      <c r="O87" s="258"/>
      <c r="P87" s="258"/>
      <c r="Q87" s="258"/>
      <c r="R87" s="258"/>
    </row>
    <row r="88" spans="1:18" ht="14.15" customHeight="1" x14ac:dyDescent="0.3">
      <c r="A88" s="341"/>
      <c r="B88" s="368"/>
      <c r="C88" s="96"/>
      <c r="D88" s="1"/>
      <c r="E88" s="36"/>
      <c r="F88" s="41"/>
      <c r="G88" s="348"/>
      <c r="H88" s="348"/>
      <c r="I88" s="79"/>
      <c r="J88" s="79"/>
      <c r="K88" s="349"/>
      <c r="L88" s="350"/>
      <c r="M88" s="351"/>
      <c r="N88" s="258"/>
      <c r="O88" s="258"/>
      <c r="P88" s="258"/>
      <c r="Q88" s="258"/>
      <c r="R88" s="258"/>
    </row>
    <row r="89" spans="1:18" ht="14.15" customHeight="1" x14ac:dyDescent="0.3">
      <c r="A89" s="341" t="s">
        <v>167</v>
      </c>
      <c r="B89" s="373" t="s">
        <v>168</v>
      </c>
      <c r="C89" s="96" t="s">
        <v>108</v>
      </c>
      <c r="D89" s="1">
        <v>0</v>
      </c>
      <c r="E89" s="36">
        <v>25</v>
      </c>
      <c r="F89" s="41">
        <v>0.2</v>
      </c>
      <c r="G89" s="348">
        <f>E89/(1-F89)</f>
        <v>31.25</v>
      </c>
      <c r="H89" s="348"/>
      <c r="I89" s="83">
        <v>0.15</v>
      </c>
      <c r="J89" s="79">
        <f>H89*(1+I89)</f>
        <v>0</v>
      </c>
      <c r="K89" s="349">
        <f>J89*D89</f>
        <v>0</v>
      </c>
      <c r="L89" s="350">
        <f>G89+J89</f>
        <v>31.25</v>
      </c>
      <c r="M89" s="351">
        <f>D89*L89</f>
        <v>0</v>
      </c>
      <c r="N89" s="258"/>
      <c r="O89" s="318"/>
      <c r="P89" s="258"/>
      <c r="Q89" s="258"/>
      <c r="R89" s="258"/>
    </row>
    <row r="90" spans="1:18" ht="14.15" customHeight="1" x14ac:dyDescent="0.3">
      <c r="A90" s="341" t="s">
        <v>169</v>
      </c>
      <c r="B90" s="373" t="s">
        <v>170</v>
      </c>
      <c r="C90" s="96" t="s">
        <v>108</v>
      </c>
      <c r="D90" s="1">
        <v>0</v>
      </c>
      <c r="E90" s="36">
        <v>33</v>
      </c>
      <c r="F90" s="41">
        <v>0.2</v>
      </c>
      <c r="G90" s="348">
        <f>E90/(1-F90)</f>
        <v>41.25</v>
      </c>
      <c r="H90" s="348"/>
      <c r="I90" s="83">
        <v>0.15</v>
      </c>
      <c r="J90" s="79">
        <f>H90*(1+I90)</f>
        <v>0</v>
      </c>
      <c r="K90" s="349">
        <f>J90*D90</f>
        <v>0</v>
      </c>
      <c r="L90" s="350">
        <f>G90+J90</f>
        <v>41.25</v>
      </c>
      <c r="M90" s="351">
        <f>D90*L90</f>
        <v>0</v>
      </c>
      <c r="N90" s="258"/>
      <c r="O90" s="318"/>
      <c r="P90" s="258"/>
      <c r="Q90" s="258"/>
      <c r="R90" s="258"/>
    </row>
    <row r="91" spans="1:18" ht="14.5" customHeight="1" thickBot="1" x14ac:dyDescent="0.35">
      <c r="A91" s="341" t="s">
        <v>171</v>
      </c>
      <c r="B91" s="401" t="s">
        <v>172</v>
      </c>
      <c r="C91" s="96" t="s">
        <v>108</v>
      </c>
      <c r="D91" s="1">
        <v>0</v>
      </c>
      <c r="E91" s="36">
        <v>37</v>
      </c>
      <c r="F91" s="41">
        <v>0.2</v>
      </c>
      <c r="G91" s="348">
        <f>E91/(1-F91)</f>
        <v>46.25</v>
      </c>
      <c r="H91" s="348"/>
      <c r="I91" s="83">
        <v>0.15</v>
      </c>
      <c r="J91" s="79">
        <f>H91*(1+I91)</f>
        <v>0</v>
      </c>
      <c r="K91" s="349">
        <f>J91*D91</f>
        <v>0</v>
      </c>
      <c r="L91" s="350">
        <f>G91+J91</f>
        <v>46.25</v>
      </c>
      <c r="M91" s="351">
        <f>D91*L91</f>
        <v>0</v>
      </c>
      <c r="N91" s="258"/>
      <c r="O91" s="318"/>
      <c r="P91" s="258"/>
      <c r="Q91" s="258"/>
      <c r="R91" s="258"/>
    </row>
    <row r="92" spans="1:18" ht="14.5" customHeight="1" thickBot="1" x14ac:dyDescent="0.35">
      <c r="A92" s="397"/>
      <c r="B92" s="398"/>
      <c r="C92" s="97"/>
      <c r="D92" s="72"/>
      <c r="E92" s="73"/>
      <c r="F92" s="74"/>
      <c r="G92" s="356"/>
      <c r="H92" s="356"/>
      <c r="I92" s="73"/>
      <c r="J92" s="73"/>
      <c r="K92" s="357"/>
      <c r="L92" s="358"/>
      <c r="M92" s="358"/>
      <c r="N92" s="258"/>
      <c r="O92" s="258"/>
      <c r="P92" s="258"/>
      <c r="Q92" s="258"/>
      <c r="R92" s="258"/>
    </row>
    <row r="93" spans="1:18" s="297" customFormat="1" ht="14.15" customHeight="1" x14ac:dyDescent="0.3">
      <c r="A93" s="402">
        <v>2.14</v>
      </c>
      <c r="B93" s="403"/>
      <c r="C93" s="98"/>
      <c r="D93" s="65" t="s">
        <v>173</v>
      </c>
      <c r="E93" s="53"/>
      <c r="F93" s="54"/>
      <c r="G93" s="391"/>
      <c r="H93" s="391"/>
      <c r="I93" s="53"/>
      <c r="J93" s="53"/>
      <c r="K93" s="392"/>
      <c r="L93" s="393"/>
      <c r="M93" s="393"/>
      <c r="N93" s="258"/>
      <c r="O93" s="258"/>
      <c r="P93" s="258"/>
      <c r="Q93" s="258"/>
      <c r="R93" s="258"/>
    </row>
    <row r="94" spans="1:18" s="297" customFormat="1" ht="14.15" customHeight="1" x14ac:dyDescent="0.3">
      <c r="A94" s="341"/>
      <c r="B94" s="368"/>
      <c r="C94" s="96"/>
      <c r="D94" s="1"/>
      <c r="E94" s="36"/>
      <c r="F94" s="41"/>
      <c r="G94" s="348"/>
      <c r="H94" s="348"/>
      <c r="I94" s="79"/>
      <c r="J94" s="79"/>
      <c r="K94" s="349"/>
      <c r="L94" s="350"/>
      <c r="M94" s="351"/>
      <c r="N94" s="258"/>
      <c r="O94" s="258"/>
      <c r="P94" s="258"/>
      <c r="Q94" s="258"/>
      <c r="R94" s="258"/>
    </row>
    <row r="95" spans="1:18" s="297" customFormat="1" ht="28" customHeight="1" x14ac:dyDescent="0.3">
      <c r="A95" s="341"/>
      <c r="B95" s="373" t="s">
        <v>174</v>
      </c>
      <c r="C95" s="96"/>
      <c r="D95" s="1"/>
      <c r="E95" s="36"/>
      <c r="F95" s="41"/>
      <c r="G95" s="348"/>
      <c r="H95" s="348"/>
      <c r="I95" s="79"/>
      <c r="J95" s="79"/>
      <c r="K95" s="349"/>
      <c r="L95" s="350"/>
      <c r="M95" s="351"/>
      <c r="N95" s="258"/>
      <c r="O95" s="258"/>
      <c r="P95" s="258"/>
      <c r="Q95" s="258"/>
      <c r="R95" s="258"/>
    </row>
    <row r="96" spans="1:18" s="297" customFormat="1" ht="14.15" customHeight="1" x14ac:dyDescent="0.3">
      <c r="A96" s="384"/>
      <c r="B96" s="373"/>
      <c r="C96" s="96"/>
      <c r="D96" s="1"/>
      <c r="E96" s="36"/>
      <c r="F96" s="41"/>
      <c r="G96" s="348"/>
      <c r="H96" s="348"/>
      <c r="I96" s="79"/>
      <c r="J96" s="79"/>
      <c r="K96" s="349"/>
      <c r="L96" s="350"/>
      <c r="M96" s="351"/>
      <c r="N96" s="258"/>
      <c r="O96" s="258"/>
      <c r="P96" s="258"/>
      <c r="Q96" s="258"/>
      <c r="R96" s="258"/>
    </row>
    <row r="97" spans="1:18" s="297" customFormat="1" ht="14.15" customHeight="1" x14ac:dyDescent="0.3">
      <c r="A97" s="341" t="s">
        <v>175</v>
      </c>
      <c r="B97" s="373" t="s">
        <v>150</v>
      </c>
      <c r="C97" s="96" t="s">
        <v>85</v>
      </c>
      <c r="D97" s="1">
        <v>6</v>
      </c>
      <c r="E97" s="36">
        <f>752.54*1.1</f>
        <v>827.79399999999998</v>
      </c>
      <c r="F97" s="41">
        <v>0.2</v>
      </c>
      <c r="G97" s="348">
        <f t="shared" ref="G97:G107" si="5">E97/(1-F97)</f>
        <v>1034.7424999999998</v>
      </c>
      <c r="H97" s="348">
        <f>(250+100)*1.5</f>
        <v>525</v>
      </c>
      <c r="I97" s="83">
        <v>0.15</v>
      </c>
      <c r="J97" s="79">
        <f t="shared" ref="J97:J107" si="6">H97*(1+I97)</f>
        <v>603.75</v>
      </c>
      <c r="K97" s="349">
        <f t="shared" ref="K97:K107" si="7">J97*D97</f>
        <v>3622.5</v>
      </c>
      <c r="L97" s="350">
        <f t="shared" ref="L97:L107" si="8">G97+J97</f>
        <v>1638.4924999999998</v>
      </c>
      <c r="M97" s="351">
        <f t="shared" ref="M97:M107" si="9">D97*L97</f>
        <v>9830.9549999999981</v>
      </c>
      <c r="N97" s="258"/>
      <c r="O97" s="258"/>
      <c r="P97" s="258"/>
      <c r="Q97" s="258"/>
      <c r="R97" s="258"/>
    </row>
    <row r="98" spans="1:18" s="297" customFormat="1" ht="14.15" customHeight="1" x14ac:dyDescent="0.3">
      <c r="A98" s="341" t="s">
        <v>176</v>
      </c>
      <c r="B98" s="373" t="s">
        <v>177</v>
      </c>
      <c r="C98" s="96" t="s">
        <v>85</v>
      </c>
      <c r="D98" s="1">
        <v>0</v>
      </c>
      <c r="E98" s="36">
        <f>350*1.1</f>
        <v>385.00000000000006</v>
      </c>
      <c r="F98" s="41">
        <v>0.2</v>
      </c>
      <c r="G98" s="348">
        <f t="shared" si="5"/>
        <v>481.25000000000006</v>
      </c>
      <c r="H98" s="348">
        <f>(250+100)*1.5</f>
        <v>525</v>
      </c>
      <c r="I98" s="83">
        <v>0.15</v>
      </c>
      <c r="J98" s="79">
        <f t="shared" si="6"/>
        <v>603.75</v>
      </c>
      <c r="K98" s="349">
        <f t="shared" si="7"/>
        <v>0</v>
      </c>
      <c r="L98" s="350">
        <f t="shared" si="8"/>
        <v>1085</v>
      </c>
      <c r="M98" s="351">
        <f t="shared" si="9"/>
        <v>0</v>
      </c>
      <c r="N98" s="258"/>
      <c r="O98" s="258"/>
      <c r="P98" s="258"/>
      <c r="Q98" s="258"/>
      <c r="R98" s="258"/>
    </row>
    <row r="99" spans="1:18" s="297" customFormat="1" ht="14.15" customHeight="1" x14ac:dyDescent="0.3">
      <c r="A99" s="341" t="s">
        <v>178</v>
      </c>
      <c r="B99" s="373" t="s">
        <v>152</v>
      </c>
      <c r="C99" s="96" t="s">
        <v>85</v>
      </c>
      <c r="D99" s="1">
        <v>0</v>
      </c>
      <c r="E99" s="36">
        <v>550</v>
      </c>
      <c r="F99" s="41">
        <v>0.2</v>
      </c>
      <c r="G99" s="348">
        <f t="shared" si="5"/>
        <v>687.5</v>
      </c>
      <c r="H99" s="348">
        <f>(250+100)*1.5</f>
        <v>525</v>
      </c>
      <c r="I99" s="83">
        <v>0.15</v>
      </c>
      <c r="J99" s="79">
        <f t="shared" si="6"/>
        <v>603.75</v>
      </c>
      <c r="K99" s="349">
        <f t="shared" si="7"/>
        <v>0</v>
      </c>
      <c r="L99" s="350">
        <f t="shared" si="8"/>
        <v>1291.25</v>
      </c>
      <c r="M99" s="351">
        <f t="shared" si="9"/>
        <v>0</v>
      </c>
      <c r="N99" s="258"/>
      <c r="O99" s="258"/>
      <c r="P99" s="258"/>
      <c r="Q99" s="258"/>
      <c r="R99" s="258"/>
    </row>
    <row r="100" spans="1:18" s="297" customFormat="1" ht="14.15" customHeight="1" x14ac:dyDescent="0.3">
      <c r="A100" s="341" t="s">
        <v>179</v>
      </c>
      <c r="B100" s="373" t="s">
        <v>154</v>
      </c>
      <c r="C100" s="96" t="s">
        <v>85</v>
      </c>
      <c r="D100" s="1">
        <v>0</v>
      </c>
      <c r="E100" s="36">
        <v>350</v>
      </c>
      <c r="F100" s="41">
        <v>0.2</v>
      </c>
      <c r="G100" s="348">
        <f t="shared" si="5"/>
        <v>437.5</v>
      </c>
      <c r="H100" s="348">
        <v>525</v>
      </c>
      <c r="I100" s="83">
        <v>0.15</v>
      </c>
      <c r="J100" s="79">
        <f t="shared" si="6"/>
        <v>603.75</v>
      </c>
      <c r="K100" s="349">
        <f t="shared" si="7"/>
        <v>0</v>
      </c>
      <c r="L100" s="350">
        <f t="shared" si="8"/>
        <v>1041.25</v>
      </c>
      <c r="M100" s="351">
        <f t="shared" si="9"/>
        <v>0</v>
      </c>
      <c r="N100" s="258"/>
      <c r="O100" s="258"/>
      <c r="P100" s="258"/>
      <c r="Q100" s="258"/>
      <c r="R100" s="258"/>
    </row>
    <row r="101" spans="1:18" s="297" customFormat="1" ht="14.5" customHeight="1" x14ac:dyDescent="0.3">
      <c r="A101" s="341" t="s">
        <v>180</v>
      </c>
      <c r="B101" s="373" t="s">
        <v>156</v>
      </c>
      <c r="C101" s="96" t="s">
        <v>85</v>
      </c>
      <c r="D101" s="1">
        <v>0</v>
      </c>
      <c r="E101" s="36"/>
      <c r="F101" s="41"/>
      <c r="G101" s="348">
        <f t="shared" si="5"/>
        <v>0</v>
      </c>
      <c r="H101" s="348">
        <v>525</v>
      </c>
      <c r="I101" s="83">
        <v>0.15</v>
      </c>
      <c r="J101" s="79">
        <f t="shared" si="6"/>
        <v>603.75</v>
      </c>
      <c r="K101" s="349">
        <f t="shared" si="7"/>
        <v>0</v>
      </c>
      <c r="L101" s="350">
        <f t="shared" si="8"/>
        <v>603.75</v>
      </c>
      <c r="M101" s="351">
        <f t="shared" si="9"/>
        <v>0</v>
      </c>
      <c r="N101" s="258"/>
      <c r="O101" s="258"/>
      <c r="P101" s="258"/>
      <c r="Q101" s="258"/>
      <c r="R101" s="258"/>
    </row>
    <row r="102" spans="1:18" s="297" customFormat="1" ht="14.15" customHeight="1" x14ac:dyDescent="0.3">
      <c r="A102" s="341" t="s">
        <v>181</v>
      </c>
      <c r="B102" s="373" t="s">
        <v>158</v>
      </c>
      <c r="C102" s="96" t="s">
        <v>85</v>
      </c>
      <c r="D102" s="1">
        <v>0</v>
      </c>
      <c r="E102" s="36">
        <v>350</v>
      </c>
      <c r="F102" s="41">
        <v>0.2</v>
      </c>
      <c r="G102" s="348">
        <f t="shared" si="5"/>
        <v>437.5</v>
      </c>
      <c r="H102" s="348">
        <v>525</v>
      </c>
      <c r="I102" s="83">
        <v>0.15</v>
      </c>
      <c r="J102" s="79">
        <f t="shared" si="6"/>
        <v>603.75</v>
      </c>
      <c r="K102" s="349">
        <f t="shared" si="7"/>
        <v>0</v>
      </c>
      <c r="L102" s="350">
        <f t="shared" si="8"/>
        <v>1041.25</v>
      </c>
      <c r="M102" s="351">
        <f t="shared" si="9"/>
        <v>0</v>
      </c>
      <c r="N102" s="258"/>
      <c r="O102" s="258"/>
      <c r="P102" s="258"/>
      <c r="Q102" s="258"/>
      <c r="R102" s="258"/>
    </row>
    <row r="103" spans="1:18" s="297" customFormat="1" ht="14.15" customHeight="1" x14ac:dyDescent="0.3">
      <c r="A103" s="341" t="s">
        <v>182</v>
      </c>
      <c r="B103" s="373" t="s">
        <v>160</v>
      </c>
      <c r="C103" s="96" t="s">
        <v>85</v>
      </c>
      <c r="D103" s="1">
        <v>0</v>
      </c>
      <c r="E103" s="36">
        <v>350</v>
      </c>
      <c r="F103" s="41">
        <v>0.2</v>
      </c>
      <c r="G103" s="348">
        <f t="shared" si="5"/>
        <v>437.5</v>
      </c>
      <c r="H103" s="348">
        <v>525</v>
      </c>
      <c r="I103" s="83">
        <v>0.15</v>
      </c>
      <c r="J103" s="79">
        <f t="shared" si="6"/>
        <v>603.75</v>
      </c>
      <c r="K103" s="349">
        <f t="shared" si="7"/>
        <v>0</v>
      </c>
      <c r="L103" s="350">
        <f t="shared" si="8"/>
        <v>1041.25</v>
      </c>
      <c r="M103" s="351">
        <f t="shared" si="9"/>
        <v>0</v>
      </c>
      <c r="N103" s="258"/>
      <c r="O103" s="258"/>
      <c r="P103" s="258"/>
      <c r="Q103" s="258"/>
      <c r="R103" s="258"/>
    </row>
    <row r="104" spans="1:18" s="297" customFormat="1" ht="14.15" customHeight="1" x14ac:dyDescent="0.3">
      <c r="A104" s="341" t="s">
        <v>183</v>
      </c>
      <c r="B104" s="373" t="s">
        <v>184</v>
      </c>
      <c r="C104" s="96" t="s">
        <v>85</v>
      </c>
      <c r="D104" s="1">
        <v>4</v>
      </c>
      <c r="E104" s="36"/>
      <c r="F104" s="41"/>
      <c r="G104" s="348">
        <f t="shared" si="5"/>
        <v>0</v>
      </c>
      <c r="H104" s="348">
        <v>525</v>
      </c>
      <c r="I104" s="83">
        <v>0.15</v>
      </c>
      <c r="J104" s="79">
        <f t="shared" si="6"/>
        <v>603.75</v>
      </c>
      <c r="K104" s="349">
        <f t="shared" si="7"/>
        <v>2415</v>
      </c>
      <c r="L104" s="350">
        <f t="shared" si="8"/>
        <v>603.75</v>
      </c>
      <c r="M104" s="351">
        <f t="shared" si="9"/>
        <v>2415</v>
      </c>
      <c r="N104" s="258"/>
      <c r="O104" s="258"/>
      <c r="P104" s="258"/>
      <c r="Q104" s="258"/>
      <c r="R104" s="258"/>
    </row>
    <row r="105" spans="1:18" s="297" customFormat="1" ht="14.15" customHeight="1" x14ac:dyDescent="0.3">
      <c r="A105" s="341" t="s">
        <v>185</v>
      </c>
      <c r="B105" s="373" t="s">
        <v>186</v>
      </c>
      <c r="C105" s="96" t="s">
        <v>85</v>
      </c>
      <c r="D105" s="1">
        <v>0</v>
      </c>
      <c r="E105" s="36">
        <v>250</v>
      </c>
      <c r="F105" s="41">
        <v>0.2</v>
      </c>
      <c r="G105" s="348">
        <f t="shared" si="5"/>
        <v>312.5</v>
      </c>
      <c r="H105" s="348">
        <v>525</v>
      </c>
      <c r="I105" s="83">
        <v>0.15</v>
      </c>
      <c r="J105" s="79">
        <f t="shared" si="6"/>
        <v>603.75</v>
      </c>
      <c r="K105" s="349">
        <f t="shared" si="7"/>
        <v>0</v>
      </c>
      <c r="L105" s="350">
        <f t="shared" si="8"/>
        <v>916.25</v>
      </c>
      <c r="M105" s="351">
        <f t="shared" si="9"/>
        <v>0</v>
      </c>
      <c r="N105" s="258"/>
      <c r="O105" s="258"/>
      <c r="P105" s="258"/>
      <c r="Q105" s="258"/>
      <c r="R105" s="258"/>
    </row>
    <row r="106" spans="1:18" s="297" customFormat="1" ht="14.15" customHeight="1" x14ac:dyDescent="0.3">
      <c r="A106" s="341" t="s">
        <v>187</v>
      </c>
      <c r="B106" s="373" t="s">
        <v>188</v>
      </c>
      <c r="C106" s="96" t="s">
        <v>85</v>
      </c>
      <c r="D106" s="1">
        <v>0</v>
      </c>
      <c r="E106" s="36">
        <v>500</v>
      </c>
      <c r="F106" s="41">
        <v>0.2</v>
      </c>
      <c r="G106" s="348">
        <f t="shared" si="5"/>
        <v>625</v>
      </c>
      <c r="H106" s="348">
        <v>525</v>
      </c>
      <c r="I106" s="83">
        <v>0.15</v>
      </c>
      <c r="J106" s="79">
        <f t="shared" si="6"/>
        <v>603.75</v>
      </c>
      <c r="K106" s="349">
        <f t="shared" si="7"/>
        <v>0</v>
      </c>
      <c r="L106" s="350">
        <f t="shared" si="8"/>
        <v>1228.75</v>
      </c>
      <c r="M106" s="351">
        <f t="shared" si="9"/>
        <v>0</v>
      </c>
      <c r="N106" s="258"/>
      <c r="O106" s="258"/>
      <c r="P106" s="258"/>
      <c r="Q106" s="258"/>
      <c r="R106" s="258"/>
    </row>
    <row r="107" spans="1:18" s="297" customFormat="1" ht="14.5" customHeight="1" thickBot="1" x14ac:dyDescent="0.35">
      <c r="A107" s="381" t="s">
        <v>189</v>
      </c>
      <c r="B107" s="375" t="s">
        <v>190</v>
      </c>
      <c r="C107" s="99" t="s">
        <v>85</v>
      </c>
      <c r="D107" s="50">
        <v>0</v>
      </c>
      <c r="E107" s="51">
        <v>500</v>
      </c>
      <c r="F107" s="52">
        <v>0.2</v>
      </c>
      <c r="G107" s="376">
        <f t="shared" si="5"/>
        <v>625</v>
      </c>
      <c r="H107" s="376">
        <v>525</v>
      </c>
      <c r="I107" s="84">
        <v>0.15</v>
      </c>
      <c r="J107" s="80">
        <f t="shared" si="6"/>
        <v>603.75</v>
      </c>
      <c r="K107" s="382">
        <f t="shared" si="7"/>
        <v>0</v>
      </c>
      <c r="L107" s="350">
        <f t="shared" si="8"/>
        <v>1228.75</v>
      </c>
      <c r="M107" s="378">
        <f t="shared" si="9"/>
        <v>0</v>
      </c>
      <c r="N107" s="258"/>
      <c r="O107" s="258"/>
      <c r="P107" s="258"/>
      <c r="Q107" s="258"/>
      <c r="R107" s="258"/>
    </row>
    <row r="108" spans="1:18" s="297" customFormat="1" ht="14.5" customHeight="1" thickBot="1" x14ac:dyDescent="0.35">
      <c r="A108" s="404"/>
      <c r="B108" s="405"/>
      <c r="C108" s="96"/>
      <c r="D108" s="1"/>
      <c r="E108" s="36"/>
      <c r="F108" s="41"/>
      <c r="G108" s="348"/>
      <c r="H108" s="348"/>
      <c r="I108" s="79"/>
      <c r="J108" s="79"/>
      <c r="K108" s="406"/>
      <c r="L108" s="350"/>
      <c r="M108" s="351"/>
      <c r="N108" s="258"/>
      <c r="O108" s="258"/>
      <c r="P108" s="258"/>
      <c r="Q108" s="258"/>
      <c r="R108" s="258"/>
    </row>
    <row r="109" spans="1:18" ht="14.15" customHeight="1" x14ac:dyDescent="0.3">
      <c r="A109" s="359">
        <v>2.15</v>
      </c>
      <c r="B109" s="399"/>
      <c r="C109" s="100"/>
      <c r="D109" s="58" t="s">
        <v>191</v>
      </c>
      <c r="E109" s="56"/>
      <c r="F109" s="57"/>
      <c r="G109" s="361"/>
      <c r="H109" s="361"/>
      <c r="I109" s="56"/>
      <c r="J109" s="56"/>
      <c r="K109" s="362"/>
      <c r="L109" s="363"/>
      <c r="M109" s="363"/>
      <c r="N109" s="258"/>
      <c r="O109" s="258"/>
      <c r="P109" s="258"/>
      <c r="Q109" s="258"/>
      <c r="R109" s="258"/>
    </row>
    <row r="110" spans="1:18" ht="14.15" customHeight="1" x14ac:dyDescent="0.3">
      <c r="A110" s="341"/>
      <c r="B110" s="368"/>
      <c r="C110" s="96"/>
      <c r="D110" s="1"/>
      <c r="E110" s="36"/>
      <c r="F110" s="41"/>
      <c r="G110" s="348"/>
      <c r="H110" s="348"/>
      <c r="I110" s="79"/>
      <c r="J110" s="79"/>
      <c r="K110" s="349"/>
      <c r="L110" s="350"/>
      <c r="M110" s="351"/>
      <c r="N110" s="258"/>
      <c r="O110" s="258"/>
      <c r="P110" s="258"/>
      <c r="Q110" s="258"/>
      <c r="R110" s="258"/>
    </row>
    <row r="111" spans="1:18" ht="28" customHeight="1" x14ac:dyDescent="0.3">
      <c r="A111" s="341"/>
      <c r="B111" s="373" t="s">
        <v>192</v>
      </c>
      <c r="C111" s="96"/>
      <c r="D111" s="1"/>
      <c r="E111" s="36"/>
      <c r="F111" s="41"/>
      <c r="G111" s="348"/>
      <c r="H111" s="348"/>
      <c r="I111" s="79"/>
      <c r="J111" s="79"/>
      <c r="K111" s="349"/>
      <c r="L111" s="350"/>
      <c r="M111" s="351"/>
      <c r="N111" s="258"/>
      <c r="O111" s="258"/>
      <c r="P111" s="353"/>
      <c r="Q111" s="258"/>
      <c r="R111" s="258"/>
    </row>
    <row r="112" spans="1:18" ht="14.15" customHeight="1" x14ac:dyDescent="0.3">
      <c r="A112" s="384"/>
      <c r="B112" s="373"/>
      <c r="C112" s="96"/>
      <c r="D112" s="1"/>
      <c r="E112" s="36"/>
      <c r="F112" s="41"/>
      <c r="G112" s="348"/>
      <c r="H112" s="348"/>
      <c r="I112" s="79"/>
      <c r="J112" s="79"/>
      <c r="K112" s="349"/>
      <c r="L112" s="350"/>
      <c r="M112" s="351"/>
      <c r="N112" s="258"/>
      <c r="O112" s="258"/>
      <c r="P112" s="258"/>
      <c r="Q112" s="258"/>
      <c r="R112" s="258"/>
    </row>
    <row r="113" spans="1:18" ht="14.15" customHeight="1" x14ac:dyDescent="0.3">
      <c r="A113" s="341" t="s">
        <v>193</v>
      </c>
      <c r="B113" s="373" t="s">
        <v>194</v>
      </c>
      <c r="C113" s="96" t="s">
        <v>85</v>
      </c>
      <c r="D113" s="1">
        <v>0</v>
      </c>
      <c r="E113" s="36">
        <f>132*(15+10+10)</f>
        <v>4620</v>
      </c>
      <c r="F113" s="41">
        <v>0.2</v>
      </c>
      <c r="G113" s="348">
        <f>E113/(1-F113)</f>
        <v>5775</v>
      </c>
      <c r="H113" s="348">
        <f>9*(15+10+10)</f>
        <v>315</v>
      </c>
      <c r="I113" s="83">
        <v>0.15</v>
      </c>
      <c r="J113" s="79">
        <f>H113*(1+I113)</f>
        <v>362.25</v>
      </c>
      <c r="K113" s="349">
        <f>J113*D113</f>
        <v>0</v>
      </c>
      <c r="L113" s="350">
        <f>G113+J113</f>
        <v>6137.25</v>
      </c>
      <c r="M113" s="351">
        <f>D113*L113</f>
        <v>0</v>
      </c>
      <c r="N113" s="258"/>
      <c r="O113" s="258"/>
      <c r="P113" s="258"/>
      <c r="Q113" s="258"/>
      <c r="R113" s="258"/>
    </row>
    <row r="114" spans="1:18" ht="14.5" customHeight="1" thickBot="1" x14ac:dyDescent="0.35">
      <c r="A114" s="381" t="s">
        <v>195</v>
      </c>
      <c r="B114" s="375" t="s">
        <v>196</v>
      </c>
      <c r="C114" s="99" t="s">
        <v>85</v>
      </c>
      <c r="D114" s="50">
        <v>18</v>
      </c>
      <c r="E114" s="51">
        <f>30</f>
        <v>30</v>
      </c>
      <c r="F114" s="52">
        <v>0.2</v>
      </c>
      <c r="G114" s="376">
        <f>E114/(1-F114)</f>
        <v>37.5</v>
      </c>
      <c r="H114" s="376">
        <f>15</f>
        <v>15</v>
      </c>
      <c r="I114" s="84">
        <v>0.15</v>
      </c>
      <c r="J114" s="80">
        <f>H114*(1+I114)</f>
        <v>17.25</v>
      </c>
      <c r="K114" s="382">
        <f>J114*D114</f>
        <v>310.5</v>
      </c>
      <c r="L114" s="407">
        <f>G114+J114</f>
        <v>54.75</v>
      </c>
      <c r="M114" s="378">
        <f>D114*L114</f>
        <v>985.5</v>
      </c>
      <c r="N114" s="258"/>
      <c r="O114" s="258"/>
      <c r="P114" s="258"/>
      <c r="Q114" s="258"/>
      <c r="R114" s="258"/>
    </row>
    <row r="115" spans="1:18" ht="14.5" customHeight="1" thickBot="1" x14ac:dyDescent="0.35">
      <c r="A115" s="258"/>
      <c r="B115" s="405"/>
      <c r="C115" s="96"/>
      <c r="D115" s="1"/>
      <c r="E115" s="36"/>
      <c r="F115" s="41"/>
      <c r="G115" s="348"/>
      <c r="H115" s="348"/>
      <c r="I115" s="79"/>
      <c r="J115" s="79"/>
      <c r="K115" s="406"/>
      <c r="L115" s="350"/>
      <c r="M115" s="351"/>
      <c r="N115" s="258"/>
      <c r="O115" s="258"/>
      <c r="P115" s="258"/>
      <c r="Q115" s="258"/>
      <c r="R115" s="258"/>
    </row>
    <row r="116" spans="1:18" ht="14.15" customHeight="1" x14ac:dyDescent="0.3">
      <c r="A116" s="359">
        <v>2.16</v>
      </c>
      <c r="B116" s="399"/>
      <c r="C116" s="100"/>
      <c r="D116" s="58" t="s">
        <v>197</v>
      </c>
      <c r="E116" s="56"/>
      <c r="F116" s="57"/>
      <c r="G116" s="361"/>
      <c r="H116" s="361"/>
      <c r="I116" s="56"/>
      <c r="J116" s="56"/>
      <c r="K116" s="362"/>
      <c r="L116" s="363"/>
      <c r="M116" s="363"/>
      <c r="N116" s="258"/>
      <c r="O116" s="258"/>
      <c r="P116" s="258"/>
      <c r="Q116" s="258"/>
      <c r="R116" s="258"/>
    </row>
    <row r="117" spans="1:18" ht="14.15" customHeight="1" x14ac:dyDescent="0.3">
      <c r="A117" s="341"/>
      <c r="B117" s="368"/>
      <c r="C117" s="96"/>
      <c r="D117" s="1"/>
      <c r="E117" s="36"/>
      <c r="F117" s="41"/>
      <c r="G117" s="348"/>
      <c r="H117" s="348"/>
      <c r="I117" s="79"/>
      <c r="J117" s="79"/>
      <c r="K117" s="349"/>
      <c r="L117" s="350"/>
      <c r="M117" s="351"/>
      <c r="N117" s="258"/>
      <c r="O117" s="258"/>
      <c r="P117" s="258"/>
      <c r="Q117" s="258"/>
      <c r="R117" s="258"/>
    </row>
    <row r="118" spans="1:18" ht="28.5" customHeight="1" thickBot="1" x14ac:dyDescent="0.35">
      <c r="A118" s="381" t="s">
        <v>198</v>
      </c>
      <c r="B118" s="375" t="s">
        <v>199</v>
      </c>
      <c r="C118" s="99" t="s">
        <v>108</v>
      </c>
      <c r="D118" s="50">
        <v>10</v>
      </c>
      <c r="E118" s="51">
        <v>5</v>
      </c>
      <c r="F118" s="52">
        <v>0.2</v>
      </c>
      <c r="G118" s="376">
        <f>E118/(1-F118)</f>
        <v>6.25</v>
      </c>
      <c r="H118" s="376">
        <f>(100*3)</f>
        <v>300</v>
      </c>
      <c r="I118" s="84">
        <v>0.15</v>
      </c>
      <c r="J118" s="80">
        <f>H118*(1+I118)</f>
        <v>345</v>
      </c>
      <c r="K118" s="382">
        <f>J118*D118</f>
        <v>3450</v>
      </c>
      <c r="L118" s="407">
        <f>G118+J118</f>
        <v>351.25</v>
      </c>
      <c r="M118" s="378">
        <f>D118*L118</f>
        <v>3512.5</v>
      </c>
      <c r="N118" s="258"/>
      <c r="O118" s="258"/>
      <c r="P118" s="258"/>
      <c r="Q118" s="258"/>
      <c r="R118" s="258"/>
    </row>
    <row r="119" spans="1:18" ht="13.4" customHeight="1" thickBot="1" x14ac:dyDescent="0.35">
      <c r="A119" s="404"/>
      <c r="B119" s="405"/>
      <c r="C119" s="96"/>
      <c r="D119" s="1"/>
      <c r="E119" s="36"/>
      <c r="F119" s="41"/>
      <c r="G119" s="348"/>
      <c r="H119" s="348"/>
      <c r="I119" s="79"/>
      <c r="J119" s="79"/>
      <c r="K119" s="406"/>
      <c r="L119" s="350"/>
      <c r="M119" s="351"/>
      <c r="N119" s="258"/>
      <c r="O119" s="258"/>
      <c r="P119" s="258"/>
      <c r="Q119" s="258"/>
      <c r="R119" s="258"/>
    </row>
    <row r="120" spans="1:18" ht="14.15" customHeight="1" x14ac:dyDescent="0.3">
      <c r="A120" s="359">
        <v>2.17</v>
      </c>
      <c r="B120" s="399"/>
      <c r="C120" s="100"/>
      <c r="D120" s="58" t="s">
        <v>200</v>
      </c>
      <c r="E120" s="56"/>
      <c r="F120" s="57"/>
      <c r="G120" s="361"/>
      <c r="H120" s="361"/>
      <c r="I120" s="56"/>
      <c r="J120" s="56"/>
      <c r="K120" s="362"/>
      <c r="L120" s="363"/>
      <c r="M120" s="363"/>
      <c r="N120" s="258"/>
      <c r="O120" s="258"/>
      <c r="P120" s="258"/>
      <c r="Q120" s="258"/>
      <c r="R120" s="258"/>
    </row>
    <row r="121" spans="1:18" ht="14.15" customHeight="1" x14ac:dyDescent="0.3">
      <c r="A121" s="341"/>
      <c r="B121" s="408"/>
      <c r="C121" s="96"/>
      <c r="D121" s="1"/>
      <c r="E121" s="36"/>
      <c r="F121" s="41"/>
      <c r="G121" s="348"/>
      <c r="H121" s="348"/>
      <c r="I121" s="79"/>
      <c r="J121" s="79"/>
      <c r="K121" s="349"/>
      <c r="L121" s="350"/>
      <c r="M121" s="351"/>
      <c r="N121" s="258"/>
      <c r="O121" s="258"/>
      <c r="P121" s="258"/>
      <c r="Q121" s="258"/>
      <c r="R121" s="258"/>
    </row>
    <row r="122" spans="1:18" ht="14.15" customHeight="1" x14ac:dyDescent="0.3">
      <c r="A122" s="341"/>
      <c r="B122" s="373" t="s">
        <v>201</v>
      </c>
      <c r="C122" s="96"/>
      <c r="D122" s="1"/>
      <c r="E122" s="36"/>
      <c r="F122" s="41"/>
      <c r="G122" s="348"/>
      <c r="H122" s="348"/>
      <c r="I122" s="79"/>
      <c r="J122" s="79"/>
      <c r="K122" s="349"/>
      <c r="L122" s="350"/>
      <c r="M122" s="351"/>
      <c r="N122" s="258"/>
      <c r="O122" s="258"/>
      <c r="P122" s="258"/>
      <c r="Q122" s="258"/>
      <c r="R122" s="258"/>
    </row>
    <row r="123" spans="1:18" ht="14.15" customHeight="1" x14ac:dyDescent="0.3">
      <c r="A123" s="384"/>
      <c r="B123" s="409"/>
      <c r="C123" s="96"/>
      <c r="D123" s="1"/>
      <c r="E123" s="36"/>
      <c r="F123" s="41"/>
      <c r="G123" s="348"/>
      <c r="H123" s="348"/>
      <c r="I123" s="79"/>
      <c r="J123" s="79"/>
      <c r="K123" s="349"/>
      <c r="L123" s="350"/>
      <c r="M123" s="351"/>
      <c r="N123" s="258"/>
      <c r="O123" s="258"/>
      <c r="P123" s="258"/>
      <c r="Q123" s="258"/>
      <c r="R123" s="258"/>
    </row>
    <row r="124" spans="1:18" ht="28" customHeight="1" x14ac:dyDescent="0.3">
      <c r="A124" s="341" t="s">
        <v>202</v>
      </c>
      <c r="B124" s="373" t="s">
        <v>203</v>
      </c>
      <c r="C124" s="96" t="s">
        <v>42</v>
      </c>
      <c r="D124" s="1">
        <v>0</v>
      </c>
      <c r="E124" s="36"/>
      <c r="F124" s="41">
        <v>0.2</v>
      </c>
      <c r="G124" s="348">
        <f>E124/(1-F124)</f>
        <v>0</v>
      </c>
      <c r="H124" s="348">
        <f>140*(20+60+200)</f>
        <v>39200</v>
      </c>
      <c r="I124" s="83">
        <v>0.15</v>
      </c>
      <c r="J124" s="79">
        <f>H124*(1+I124)</f>
        <v>45080</v>
      </c>
      <c r="K124" s="349">
        <f>J124*D124</f>
        <v>0</v>
      </c>
      <c r="L124" s="350">
        <f>G124+J124</f>
        <v>45080</v>
      </c>
      <c r="M124" s="351">
        <f>D124*L124</f>
        <v>0</v>
      </c>
      <c r="N124" s="258"/>
      <c r="O124" s="258"/>
      <c r="P124" s="258"/>
      <c r="Q124" s="258"/>
      <c r="R124" s="258"/>
    </row>
    <row r="125" spans="1:18" s="297" customFormat="1" ht="28" customHeight="1" x14ac:dyDescent="0.3">
      <c r="A125" s="341" t="s">
        <v>204</v>
      </c>
      <c r="B125" s="373" t="s">
        <v>205</v>
      </c>
      <c r="C125" s="96" t="s">
        <v>42</v>
      </c>
      <c r="D125" s="1">
        <v>0</v>
      </c>
      <c r="E125" s="36"/>
      <c r="F125" s="41">
        <v>0.2</v>
      </c>
      <c r="G125" s="348">
        <f>E125/(1-F125)</f>
        <v>0</v>
      </c>
      <c r="H125" s="348">
        <f>140*(20+60+200)</f>
        <v>39200</v>
      </c>
      <c r="I125" s="83">
        <v>0.15</v>
      </c>
      <c r="J125" s="79">
        <f>H125*(1+I125)</f>
        <v>45080</v>
      </c>
      <c r="K125" s="349">
        <f>J125*D125</f>
        <v>0</v>
      </c>
      <c r="L125" s="350">
        <f>G125+J125</f>
        <v>45080</v>
      </c>
      <c r="M125" s="351">
        <f>D125*L125</f>
        <v>0</v>
      </c>
      <c r="N125" s="258"/>
      <c r="O125" s="258"/>
      <c r="P125" s="258"/>
      <c r="Q125" s="258"/>
      <c r="R125" s="258"/>
    </row>
    <row r="126" spans="1:18" s="297" customFormat="1" ht="14.15" customHeight="1" x14ac:dyDescent="0.3">
      <c r="A126" s="341" t="s">
        <v>206</v>
      </c>
      <c r="B126" s="373" t="s">
        <v>207</v>
      </c>
      <c r="C126" s="96" t="s">
        <v>42</v>
      </c>
      <c r="D126" s="1">
        <v>0</v>
      </c>
      <c r="E126" s="36">
        <f>35*(50+50)</f>
        <v>3500</v>
      </c>
      <c r="F126" s="41">
        <v>0.2</v>
      </c>
      <c r="G126" s="348">
        <f>E126/(1-F126)</f>
        <v>4375</v>
      </c>
      <c r="H126" s="348">
        <f>5*(50+50+50)</f>
        <v>750</v>
      </c>
      <c r="I126" s="83">
        <v>0.15</v>
      </c>
      <c r="J126" s="79">
        <f>H126*(1+I126)</f>
        <v>862.49999999999989</v>
      </c>
      <c r="K126" s="349">
        <f>J126*D126</f>
        <v>0</v>
      </c>
      <c r="L126" s="350">
        <f>G126+J126</f>
        <v>5237.5</v>
      </c>
      <c r="M126" s="351">
        <f>D126*L126</f>
        <v>0</v>
      </c>
      <c r="N126" s="258"/>
      <c r="O126" s="258"/>
      <c r="P126" s="258"/>
      <c r="Q126" s="258"/>
      <c r="R126" s="258"/>
    </row>
    <row r="127" spans="1:18" s="297" customFormat="1" ht="14.5" customHeight="1" thickBot="1" x14ac:dyDescent="0.35">
      <c r="A127" s="381" t="s">
        <v>208</v>
      </c>
      <c r="B127" s="375" t="s">
        <v>209</v>
      </c>
      <c r="C127" s="99" t="s">
        <v>42</v>
      </c>
      <c r="D127" s="50">
        <v>0</v>
      </c>
      <c r="E127" s="51">
        <f>4500*3</f>
        <v>13500</v>
      </c>
      <c r="F127" s="52">
        <v>0.2</v>
      </c>
      <c r="G127" s="376">
        <f>E127/(1-F127)</f>
        <v>16875</v>
      </c>
      <c r="H127" s="376">
        <v>5</v>
      </c>
      <c r="I127" s="84">
        <v>0.15</v>
      </c>
      <c r="J127" s="80">
        <f>H127*(1+I127)</f>
        <v>5.75</v>
      </c>
      <c r="K127" s="382">
        <f>J127*D127</f>
        <v>0</v>
      </c>
      <c r="L127" s="407">
        <f>G127+J127</f>
        <v>16880.75</v>
      </c>
      <c r="M127" s="378">
        <f>D127*L127</f>
        <v>0</v>
      </c>
      <c r="N127" s="258"/>
      <c r="O127" s="258"/>
      <c r="P127" s="258"/>
      <c r="Q127" s="258"/>
      <c r="R127" s="258"/>
    </row>
    <row r="128" spans="1:18" s="297" customFormat="1" ht="14.5" customHeight="1" thickBot="1" x14ac:dyDescent="0.35">
      <c r="A128" s="404"/>
      <c r="B128" s="410"/>
      <c r="C128" s="28"/>
      <c r="D128" s="1"/>
      <c r="E128" s="36"/>
      <c r="F128" s="41"/>
      <c r="G128" s="348"/>
      <c r="H128" s="348"/>
      <c r="I128" s="79"/>
      <c r="J128" s="79"/>
      <c r="K128" s="406"/>
      <c r="L128" s="350"/>
      <c r="M128" s="351"/>
      <c r="N128" s="258"/>
      <c r="O128" s="258"/>
      <c r="P128" s="258"/>
      <c r="Q128" s="258"/>
      <c r="R128" s="258"/>
    </row>
    <row r="129" spans="1:18" s="297" customFormat="1" ht="14.15" customHeight="1" x14ac:dyDescent="0.3">
      <c r="A129" s="359">
        <v>2.1800000000000002</v>
      </c>
      <c r="B129" s="399"/>
      <c r="C129" s="100"/>
      <c r="D129" s="55" t="s">
        <v>210</v>
      </c>
      <c r="E129" s="56"/>
      <c r="F129" s="57"/>
      <c r="G129" s="361"/>
      <c r="H129" s="361"/>
      <c r="I129" s="56"/>
      <c r="J129" s="56"/>
      <c r="K129" s="362"/>
      <c r="L129" s="363"/>
      <c r="M129" s="363"/>
      <c r="N129" s="258"/>
      <c r="O129" s="258"/>
      <c r="P129" s="258"/>
      <c r="Q129" s="258"/>
      <c r="R129" s="258"/>
    </row>
    <row r="130" spans="1:18" s="297" customFormat="1" ht="14.15" customHeight="1" x14ac:dyDescent="0.3">
      <c r="A130" s="341"/>
      <c r="B130" s="408"/>
      <c r="C130" s="96"/>
      <c r="D130" s="1"/>
      <c r="E130" s="36"/>
      <c r="F130" s="41"/>
      <c r="G130" s="348"/>
      <c r="H130" s="348"/>
      <c r="I130" s="79"/>
      <c r="J130" s="79"/>
      <c r="K130" s="349"/>
      <c r="L130" s="350"/>
      <c r="M130" s="351"/>
      <c r="N130" s="258"/>
      <c r="O130" s="258"/>
      <c r="P130" s="258"/>
      <c r="Q130" s="258"/>
      <c r="R130" s="258"/>
    </row>
    <row r="131" spans="1:18" s="297" customFormat="1" ht="14.15" customHeight="1" x14ac:dyDescent="0.3">
      <c r="A131" s="341" t="s">
        <v>211</v>
      </c>
      <c r="B131" s="373" t="s">
        <v>212</v>
      </c>
      <c r="C131" s="96" t="s">
        <v>42</v>
      </c>
      <c r="D131" s="1">
        <v>0</v>
      </c>
      <c r="E131" s="36">
        <v>0</v>
      </c>
      <c r="F131" s="41">
        <v>0.2</v>
      </c>
      <c r="G131" s="348">
        <f>E131/(1-F131)</f>
        <v>0</v>
      </c>
      <c r="H131" s="348">
        <f>2500*3</f>
        <v>7500</v>
      </c>
      <c r="I131" s="79"/>
      <c r="J131" s="79"/>
      <c r="K131" s="349">
        <f>H131*D131</f>
        <v>0</v>
      </c>
      <c r="L131" s="350">
        <f>G131+J131</f>
        <v>0</v>
      </c>
      <c r="M131" s="351">
        <f>D131*L131</f>
        <v>0</v>
      </c>
      <c r="N131" s="258"/>
      <c r="O131" s="258"/>
      <c r="P131" s="258"/>
      <c r="Q131" s="258"/>
      <c r="R131" s="258"/>
    </row>
    <row r="132" spans="1:18" s="297" customFormat="1" ht="14.5" customHeight="1" thickBot="1" x14ac:dyDescent="0.35">
      <c r="A132" s="381"/>
      <c r="B132" s="411"/>
      <c r="C132" s="77"/>
      <c r="D132" s="50"/>
      <c r="E132" s="51"/>
      <c r="F132" s="52"/>
      <c r="G132" s="376"/>
      <c r="H132" s="376"/>
      <c r="I132" s="80"/>
      <c r="J132" s="80"/>
      <c r="K132" s="382">
        <f>H132*D132</f>
        <v>0</v>
      </c>
      <c r="L132" s="412"/>
      <c r="M132" s="378"/>
      <c r="N132" s="258"/>
      <c r="O132" s="258"/>
      <c r="P132" s="258"/>
      <c r="Q132" s="258"/>
      <c r="R132" s="258"/>
    </row>
    <row r="133" spans="1:18" s="297" customFormat="1" ht="14.15" customHeight="1" x14ac:dyDescent="0.3">
      <c r="A133" s="369"/>
      <c r="B133" s="413"/>
      <c r="C133" s="28"/>
      <c r="D133" s="1"/>
      <c r="E133" s="36"/>
      <c r="F133" s="41"/>
      <c r="G133" s="348"/>
      <c r="H133" s="348"/>
      <c r="I133" s="36"/>
      <c r="J133" s="36"/>
      <c r="K133" s="414"/>
      <c r="L133" s="350"/>
      <c r="M133" s="351"/>
      <c r="N133" s="258"/>
      <c r="O133" s="258"/>
      <c r="P133" s="258"/>
      <c r="Q133" s="258"/>
      <c r="R133" s="258"/>
    </row>
    <row r="134" spans="1:18" s="297" customFormat="1" ht="14.15" customHeight="1" x14ac:dyDescent="0.3">
      <c r="A134" s="404">
        <v>2.19</v>
      </c>
      <c r="B134" s="409" t="s">
        <v>213</v>
      </c>
      <c r="C134" s="96"/>
      <c r="D134" s="1"/>
      <c r="E134" s="36"/>
      <c r="F134" s="41"/>
      <c r="G134" s="348"/>
      <c r="H134" s="348"/>
      <c r="I134" s="36"/>
      <c r="J134" s="36"/>
      <c r="K134" s="415">
        <f>H134*D134</f>
        <v>0</v>
      </c>
      <c r="L134" s="350"/>
      <c r="M134" s="351"/>
      <c r="N134" s="258"/>
      <c r="O134" s="258"/>
      <c r="P134" s="258"/>
      <c r="Q134" s="258"/>
      <c r="R134" s="258"/>
    </row>
    <row r="135" spans="1:18" s="297" customFormat="1" ht="14.15" customHeight="1" x14ac:dyDescent="0.3">
      <c r="A135" s="404" t="s">
        <v>214</v>
      </c>
      <c r="B135" s="373" t="s">
        <v>215</v>
      </c>
      <c r="C135" s="96" t="s">
        <v>42</v>
      </c>
      <c r="D135" s="1">
        <v>1</v>
      </c>
      <c r="E135" s="36">
        <v>25000</v>
      </c>
      <c r="F135" s="41">
        <v>0</v>
      </c>
      <c r="G135" s="348">
        <f>E135/(1-F135)</f>
        <v>25000</v>
      </c>
      <c r="H135" s="348">
        <v>0</v>
      </c>
      <c r="I135" s="36"/>
      <c r="J135" s="36"/>
      <c r="K135" s="415">
        <f>H135*D135</f>
        <v>0</v>
      </c>
      <c r="L135" s="350">
        <f>G135+H135</f>
        <v>25000</v>
      </c>
      <c r="M135" s="351">
        <f>D135*L135</f>
        <v>25000</v>
      </c>
      <c r="N135" s="258"/>
      <c r="O135" s="258"/>
      <c r="P135" s="258"/>
      <c r="Q135" s="258"/>
      <c r="R135" s="258"/>
    </row>
    <row r="136" spans="1:18" s="297" customFormat="1" ht="14.15" customHeight="1" x14ac:dyDescent="0.3">
      <c r="A136" s="404"/>
      <c r="B136" s="409"/>
      <c r="C136" s="96"/>
      <c r="D136" s="1"/>
      <c r="E136" s="36"/>
      <c r="F136" s="41"/>
      <c r="G136" s="348"/>
      <c r="H136" s="348"/>
      <c r="I136" s="36"/>
      <c r="J136" s="36"/>
      <c r="K136" s="415"/>
      <c r="L136" s="350"/>
      <c r="M136" s="351"/>
      <c r="N136" s="258"/>
      <c r="O136" s="258"/>
      <c r="P136" s="258"/>
      <c r="Q136" s="258"/>
      <c r="R136" s="258"/>
    </row>
    <row r="137" spans="1:18" s="297" customFormat="1" ht="14.15" customHeight="1" x14ac:dyDescent="0.3">
      <c r="A137" s="416">
        <v>2.2000000000000002</v>
      </c>
      <c r="B137" s="409" t="s">
        <v>216</v>
      </c>
      <c r="C137" s="96"/>
      <c r="D137" s="1"/>
      <c r="E137" s="36"/>
      <c r="F137" s="41"/>
      <c r="G137" s="348"/>
      <c r="H137" s="348"/>
      <c r="I137" s="36"/>
      <c r="J137" s="36"/>
      <c r="K137" s="415">
        <f>H137*D137</f>
        <v>0</v>
      </c>
      <c r="L137" s="350"/>
      <c r="M137" s="351"/>
      <c r="N137" s="258"/>
      <c r="O137" s="258"/>
      <c r="P137" s="258"/>
      <c r="Q137" s="258"/>
      <c r="R137" s="258"/>
    </row>
    <row r="138" spans="1:18" s="297" customFormat="1" ht="14.15" customHeight="1" x14ac:dyDescent="0.3">
      <c r="A138" s="404" t="s">
        <v>217</v>
      </c>
      <c r="B138" s="373" t="s">
        <v>218</v>
      </c>
      <c r="C138" s="96" t="s">
        <v>42</v>
      </c>
      <c r="D138" s="1">
        <v>1</v>
      </c>
      <c r="E138" s="36">
        <f>15000</f>
        <v>15000</v>
      </c>
      <c r="F138" s="41">
        <v>0</v>
      </c>
      <c r="G138" s="348">
        <f>E138/(1-F138)</f>
        <v>15000</v>
      </c>
      <c r="H138" s="348">
        <v>0</v>
      </c>
      <c r="I138" s="36"/>
      <c r="J138" s="36"/>
      <c r="K138" s="415">
        <f>H138*D138</f>
        <v>0</v>
      </c>
      <c r="L138" s="350">
        <f>G138+H138</f>
        <v>15000</v>
      </c>
      <c r="M138" s="351">
        <f>D138*L138</f>
        <v>15000</v>
      </c>
      <c r="N138" s="258"/>
      <c r="O138" s="258"/>
      <c r="P138" s="258"/>
      <c r="Q138" s="258"/>
      <c r="R138" s="258"/>
    </row>
    <row r="139" spans="1:18" s="297" customFormat="1" ht="14.15" customHeight="1" x14ac:dyDescent="0.3">
      <c r="A139" s="404"/>
      <c r="B139" s="409"/>
      <c r="C139" s="96"/>
      <c r="D139" s="1"/>
      <c r="E139" s="36"/>
      <c r="F139" s="41"/>
      <c r="G139" s="348"/>
      <c r="H139" s="348"/>
      <c r="I139" s="36"/>
      <c r="J139" s="36"/>
      <c r="K139" s="415"/>
      <c r="L139" s="350"/>
      <c r="M139" s="351"/>
      <c r="N139" s="258"/>
      <c r="O139" s="258"/>
      <c r="P139" s="258"/>
      <c r="Q139" s="258"/>
      <c r="R139" s="258"/>
    </row>
    <row r="140" spans="1:18" s="297" customFormat="1" ht="14.15" customHeight="1" x14ac:dyDescent="0.3">
      <c r="A140" s="404">
        <v>2.21</v>
      </c>
      <c r="B140" s="409" t="s">
        <v>219</v>
      </c>
      <c r="C140" s="96"/>
      <c r="D140" s="1"/>
      <c r="E140" s="36"/>
      <c r="F140" s="41"/>
      <c r="G140" s="348"/>
      <c r="H140" s="348"/>
      <c r="I140" s="36"/>
      <c r="J140" s="36"/>
      <c r="K140" s="415">
        <f>H140*D140</f>
        <v>0</v>
      </c>
      <c r="L140" s="350"/>
      <c r="M140" s="351"/>
      <c r="N140" s="258"/>
      <c r="O140" s="258"/>
      <c r="P140" s="258"/>
      <c r="Q140" s="258"/>
      <c r="R140" s="258"/>
    </row>
    <row r="141" spans="1:18" ht="14.15" customHeight="1" x14ac:dyDescent="0.3">
      <c r="A141" s="404" t="s">
        <v>220</v>
      </c>
      <c r="B141" s="373" t="s">
        <v>221</v>
      </c>
      <c r="C141" s="96" t="s">
        <v>42</v>
      </c>
      <c r="D141" s="1">
        <v>1</v>
      </c>
      <c r="E141" s="36">
        <f>5000</f>
        <v>5000</v>
      </c>
      <c r="F141" s="41">
        <v>0</v>
      </c>
      <c r="G141" s="348">
        <f>E141/(1-F141)</f>
        <v>5000</v>
      </c>
      <c r="H141" s="348">
        <v>0</v>
      </c>
      <c r="I141" s="36"/>
      <c r="J141" s="36"/>
      <c r="K141" s="415">
        <f>H141*D141</f>
        <v>0</v>
      </c>
      <c r="L141" s="350">
        <f>G141+H141</f>
        <v>5000</v>
      </c>
      <c r="M141" s="351">
        <f>D141*L141</f>
        <v>5000</v>
      </c>
      <c r="N141" s="258"/>
      <c r="O141" s="258"/>
      <c r="P141" s="258"/>
      <c r="Q141" s="258"/>
      <c r="R141" s="258"/>
    </row>
    <row r="142" spans="1:18" ht="14.15" customHeight="1" x14ac:dyDescent="0.3">
      <c r="A142" s="404" t="s">
        <v>222</v>
      </c>
      <c r="B142" s="373" t="s">
        <v>223</v>
      </c>
      <c r="C142" s="96" t="s">
        <v>42</v>
      </c>
      <c r="D142" s="1">
        <v>1</v>
      </c>
      <c r="E142" s="36">
        <f>50000</f>
        <v>50000</v>
      </c>
      <c r="F142" s="41">
        <v>0</v>
      </c>
      <c r="G142" s="348">
        <f>E142/(1-F142)</f>
        <v>50000</v>
      </c>
      <c r="H142" s="348">
        <v>0</v>
      </c>
      <c r="I142" s="36"/>
      <c r="J142" s="36"/>
      <c r="K142" s="415">
        <f>H142*D142</f>
        <v>0</v>
      </c>
      <c r="L142" s="350">
        <f>G142+H142</f>
        <v>50000</v>
      </c>
      <c r="M142" s="351">
        <f>D142*L142</f>
        <v>50000</v>
      </c>
      <c r="N142" s="258"/>
      <c r="O142" s="258"/>
      <c r="P142" s="258"/>
      <c r="Q142" s="258"/>
      <c r="R142" s="258"/>
    </row>
    <row r="143" spans="1:18" ht="14.15" customHeight="1" x14ac:dyDescent="0.3">
      <c r="A143" s="404"/>
      <c r="B143" s="413"/>
      <c r="C143" s="28"/>
      <c r="D143" s="1"/>
      <c r="E143" s="36"/>
      <c r="F143" s="41"/>
      <c r="G143" s="348"/>
      <c r="H143" s="348"/>
      <c r="I143" s="36"/>
      <c r="J143" s="36"/>
      <c r="K143" s="415"/>
      <c r="L143" s="350"/>
      <c r="M143" s="351"/>
      <c r="N143" s="258"/>
      <c r="O143" s="258"/>
      <c r="P143" s="258"/>
      <c r="Q143" s="258"/>
      <c r="R143" s="258"/>
    </row>
    <row r="144" spans="1:18" ht="14.15" customHeight="1" x14ac:dyDescent="0.3">
      <c r="A144" s="404">
        <v>2.2200000000000002</v>
      </c>
      <c r="B144" s="409" t="s">
        <v>224</v>
      </c>
      <c r="C144" s="28"/>
      <c r="D144" s="1"/>
      <c r="E144" s="36"/>
      <c r="F144" s="41"/>
      <c r="G144" s="348"/>
      <c r="H144" s="348"/>
      <c r="I144" s="36"/>
      <c r="J144" s="36"/>
      <c r="K144" s="415">
        <f>H144*D144</f>
        <v>0</v>
      </c>
      <c r="L144" s="350"/>
      <c r="M144" s="351"/>
      <c r="N144" s="258"/>
      <c r="O144" s="258"/>
      <c r="P144" s="258"/>
      <c r="Q144" s="258"/>
      <c r="R144" s="258"/>
    </row>
    <row r="145" spans="1:18" ht="14.15" customHeight="1" x14ac:dyDescent="0.3">
      <c r="A145" s="404"/>
      <c r="B145" s="413"/>
      <c r="C145" s="28"/>
      <c r="D145" s="1"/>
      <c r="E145" s="36"/>
      <c r="F145" s="41"/>
      <c r="G145" s="348"/>
      <c r="H145" s="348"/>
      <c r="I145" s="36"/>
      <c r="J145" s="36"/>
      <c r="K145" s="415">
        <f>H145*D145</f>
        <v>0</v>
      </c>
      <c r="L145" s="350"/>
      <c r="M145" s="351"/>
      <c r="N145" s="258"/>
      <c r="O145" s="258"/>
      <c r="P145" s="258"/>
      <c r="Q145" s="258"/>
      <c r="R145" s="258"/>
    </row>
    <row r="146" spans="1:18" ht="42" customHeight="1" x14ac:dyDescent="0.3">
      <c r="A146" s="404" t="s">
        <v>225</v>
      </c>
      <c r="B146" s="373" t="s">
        <v>226</v>
      </c>
      <c r="C146" s="28" t="s">
        <v>42</v>
      </c>
      <c r="D146" s="1">
        <v>1</v>
      </c>
      <c r="E146" s="36">
        <f>5000*3</f>
        <v>15000</v>
      </c>
      <c r="F146" s="41">
        <v>0.2</v>
      </c>
      <c r="G146" s="348">
        <f>E146/(1-F146)</f>
        <v>18750</v>
      </c>
      <c r="H146" s="348">
        <v>1</v>
      </c>
      <c r="I146" s="36"/>
      <c r="J146" s="36"/>
      <c r="K146" s="415">
        <f>H146*D146</f>
        <v>1</v>
      </c>
      <c r="L146" s="350">
        <f>G146+H146</f>
        <v>18751</v>
      </c>
      <c r="M146" s="351">
        <f>D146*L146</f>
        <v>18751</v>
      </c>
      <c r="N146" s="258"/>
      <c r="O146" s="258"/>
      <c r="P146" s="258"/>
      <c r="Q146" s="258"/>
      <c r="R146" s="258"/>
    </row>
    <row r="147" spans="1:18" ht="14.5" customHeight="1" thickBot="1" x14ac:dyDescent="0.35">
      <c r="A147" s="404"/>
      <c r="B147" s="413"/>
      <c r="C147" s="28"/>
      <c r="D147" s="1"/>
      <c r="E147" s="36"/>
      <c r="F147" s="41"/>
      <c r="G147" s="348"/>
      <c r="H147" s="348"/>
      <c r="I147" s="36"/>
      <c r="J147" s="36"/>
      <c r="K147" s="417"/>
      <c r="L147" s="350"/>
      <c r="M147" s="418"/>
      <c r="N147" s="258"/>
      <c r="O147" s="258"/>
      <c r="P147" s="258"/>
      <c r="Q147" s="258"/>
      <c r="R147" s="258"/>
    </row>
    <row r="148" spans="1:18" ht="18.75" customHeight="1" thickTop="1" x14ac:dyDescent="0.3">
      <c r="A148" s="419"/>
      <c r="B148" s="420" t="s">
        <v>227</v>
      </c>
      <c r="C148" s="2"/>
      <c r="D148" s="2"/>
      <c r="E148" s="39"/>
      <c r="F148" s="42"/>
      <c r="G148" s="421"/>
      <c r="H148" s="421"/>
      <c r="I148" s="39"/>
      <c r="J148" s="39"/>
      <c r="K148" s="422">
        <f>SUM(K11:K146)</f>
        <v>95508.5</v>
      </c>
      <c r="L148" s="423"/>
      <c r="M148" s="424">
        <f>SUM(M11:M147)</f>
        <v>2043332.8869642857</v>
      </c>
      <c r="N148" s="436">
        <f>M148*1.15</f>
        <v>2349832.8200089284</v>
      </c>
      <c r="O148" s="425"/>
      <c r="P148" s="258"/>
      <c r="Q148" s="258"/>
      <c r="R148" s="258"/>
    </row>
    <row r="149" spans="1:18" ht="16.5" customHeight="1" x14ac:dyDescent="0.3">
      <c r="A149" s="426"/>
      <c r="B149" s="427"/>
      <c r="C149" s="257"/>
      <c r="D149" s="47"/>
      <c r="E149" s="250"/>
      <c r="F149" s="48"/>
      <c r="G149" s="428"/>
      <c r="H149" s="428"/>
      <c r="I149" s="250"/>
      <c r="J149" s="250"/>
      <c r="K149" s="429"/>
      <c r="L149" s="430"/>
      <c r="M149" s="431"/>
      <c r="N149" s="258"/>
      <c r="O149" s="258"/>
      <c r="P149" s="258"/>
      <c r="Q149" s="258"/>
      <c r="R149" s="258"/>
    </row>
    <row r="150" spans="1:18" ht="18.75" customHeight="1" x14ac:dyDescent="0.3">
      <c r="A150" s="258"/>
      <c r="B150" s="387"/>
      <c r="C150" s="34"/>
      <c r="D150" s="249"/>
      <c r="E150" s="249"/>
      <c r="F150" s="249"/>
      <c r="G150" s="432"/>
      <c r="H150" s="432"/>
      <c r="I150" s="249"/>
      <c r="J150" s="249"/>
      <c r="K150" s="432"/>
      <c r="L150" s="433"/>
      <c r="M150" s="434"/>
      <c r="N150" s="433"/>
      <c r="O150" s="258"/>
      <c r="P150" s="258"/>
      <c r="Q150" s="258"/>
      <c r="R150" s="258"/>
    </row>
    <row r="151" spans="1:18" ht="18.75" customHeight="1" x14ac:dyDescent="0.25">
      <c r="A151" s="258"/>
      <c r="B151" s="258"/>
      <c r="G151" s="258"/>
      <c r="H151" s="258"/>
      <c r="K151" s="258"/>
      <c r="L151" s="258"/>
      <c r="M151" s="258"/>
      <c r="N151" s="258"/>
      <c r="O151" s="258"/>
      <c r="P151" s="258"/>
      <c r="Q151" s="258"/>
      <c r="R151" s="258"/>
    </row>
    <row r="152" spans="1:18" ht="18.75" customHeight="1" x14ac:dyDescent="0.25">
      <c r="A152" s="258"/>
      <c r="B152" s="258"/>
      <c r="G152" s="258"/>
      <c r="H152" s="258"/>
      <c r="K152" s="258"/>
      <c r="L152" s="258"/>
      <c r="M152" s="258"/>
      <c r="N152" s="258"/>
      <c r="O152" s="258"/>
      <c r="P152" s="258"/>
      <c r="Q152" s="258"/>
      <c r="R152" s="258"/>
    </row>
    <row r="153" spans="1:18" ht="18.75" customHeight="1" x14ac:dyDescent="0.25">
      <c r="A153" s="258"/>
      <c r="B153" s="258"/>
      <c r="G153" s="258"/>
      <c r="H153" s="258"/>
      <c r="K153" s="258"/>
      <c r="L153" s="258"/>
      <c r="M153" s="258"/>
      <c r="N153" s="258"/>
      <c r="O153" s="258"/>
      <c r="P153" s="258"/>
      <c r="Q153" s="258"/>
      <c r="R153" s="258"/>
    </row>
    <row r="154" spans="1:18" ht="18.75" customHeight="1" x14ac:dyDescent="0.25">
      <c r="A154" s="258"/>
      <c r="B154" s="258"/>
      <c r="G154" s="258"/>
      <c r="H154" s="258"/>
      <c r="K154" s="258"/>
      <c r="L154" s="258"/>
      <c r="M154" s="258"/>
      <c r="N154" s="258"/>
      <c r="O154" s="258"/>
      <c r="P154" s="258"/>
      <c r="Q154" s="258"/>
      <c r="R154" s="258"/>
    </row>
    <row r="155" spans="1:18" ht="18.75" customHeight="1" x14ac:dyDescent="0.25">
      <c r="A155" s="258"/>
      <c r="B155" s="258"/>
      <c r="G155" s="258"/>
      <c r="H155" s="258"/>
      <c r="K155" s="258"/>
      <c r="L155" s="258"/>
      <c r="M155" s="258"/>
      <c r="N155" s="258"/>
      <c r="O155" s="258"/>
      <c r="P155" s="258"/>
      <c r="Q155" s="258"/>
      <c r="R155" s="258"/>
    </row>
    <row r="156" spans="1:18" ht="18.75" customHeight="1" x14ac:dyDescent="0.25">
      <c r="A156" s="258"/>
      <c r="B156" s="258"/>
      <c r="G156" s="258"/>
      <c r="H156" s="258"/>
      <c r="K156" s="258"/>
      <c r="L156" s="258"/>
      <c r="M156" s="258"/>
      <c r="N156" s="258"/>
      <c r="O156" s="258"/>
      <c r="P156" s="258"/>
      <c r="Q156" s="258"/>
      <c r="R156" s="258"/>
    </row>
    <row r="157" spans="1:18" ht="18.75" customHeight="1" x14ac:dyDescent="0.25">
      <c r="A157" s="258"/>
      <c r="B157" s="258"/>
      <c r="G157" s="258"/>
      <c r="H157" s="258"/>
      <c r="K157" s="258"/>
      <c r="L157" s="258"/>
      <c r="M157" s="258"/>
      <c r="N157" s="258"/>
      <c r="O157" s="258"/>
      <c r="P157" s="258"/>
      <c r="Q157" s="258"/>
      <c r="R157" s="258"/>
    </row>
    <row r="158" spans="1:18" ht="18.75" customHeight="1" x14ac:dyDescent="0.25">
      <c r="A158" s="258"/>
      <c r="B158" s="258"/>
      <c r="G158" s="258"/>
      <c r="H158" s="258"/>
      <c r="K158" s="258"/>
      <c r="L158" s="258"/>
      <c r="M158" s="258"/>
      <c r="N158" s="258"/>
      <c r="O158" s="258"/>
      <c r="P158" s="258"/>
      <c r="Q158" s="258"/>
      <c r="R158" s="258"/>
    </row>
    <row r="159" spans="1:18" ht="18.75" customHeight="1" x14ac:dyDescent="0.25">
      <c r="A159" s="258"/>
      <c r="B159" s="258"/>
      <c r="G159" s="258"/>
      <c r="H159" s="258"/>
      <c r="K159" s="258"/>
      <c r="L159" s="258"/>
      <c r="M159" s="258"/>
      <c r="N159" s="258"/>
      <c r="O159" s="258"/>
      <c r="P159" s="258"/>
      <c r="Q159" s="258"/>
      <c r="R159" s="258"/>
    </row>
    <row r="160" spans="1:18" s="8" customFormat="1" ht="18.75" customHeight="1" x14ac:dyDescent="0.25">
      <c r="A160" s="258"/>
      <c r="B160" s="435"/>
      <c r="C160" s="35"/>
      <c r="G160" s="258"/>
      <c r="H160" s="258"/>
      <c r="K160" s="258"/>
      <c r="L160" s="436"/>
      <c r="M160" s="437"/>
      <c r="N160" s="436"/>
      <c r="O160" s="438"/>
      <c r="P160" s="258"/>
      <c r="Q160" s="258"/>
      <c r="R160" s="258"/>
    </row>
    <row r="161" spans="1:18" s="8" customFormat="1" ht="18.75" customHeight="1" x14ac:dyDescent="0.25">
      <c r="A161" s="258"/>
      <c r="B161" s="435"/>
      <c r="C161" s="35"/>
      <c r="G161" s="258"/>
      <c r="H161" s="258"/>
      <c r="K161" s="258"/>
      <c r="L161" s="436"/>
      <c r="M161" s="437"/>
      <c r="N161" s="436"/>
      <c r="O161" s="438"/>
      <c r="P161" s="258"/>
      <c r="Q161" s="258"/>
      <c r="R161" s="258"/>
    </row>
    <row r="162" spans="1:18" s="8" customFormat="1" ht="18.75" customHeight="1" x14ac:dyDescent="0.25">
      <c r="A162" s="258"/>
      <c r="B162" s="435"/>
      <c r="C162" s="35"/>
      <c r="G162" s="258"/>
      <c r="H162" s="258"/>
      <c r="K162" s="258"/>
      <c r="L162" s="436"/>
      <c r="M162" s="437"/>
      <c r="N162" s="436"/>
      <c r="O162" s="438"/>
      <c r="P162" s="258"/>
      <c r="Q162" s="258"/>
      <c r="R162" s="258"/>
    </row>
    <row r="163" spans="1:18" s="8" customFormat="1" ht="18.75" customHeight="1" x14ac:dyDescent="0.25">
      <c r="A163" s="258"/>
      <c r="B163" s="435"/>
      <c r="C163" s="35"/>
      <c r="G163" s="258"/>
      <c r="H163" s="258"/>
      <c r="K163" s="258"/>
      <c r="L163" s="436"/>
      <c r="M163" s="437"/>
      <c r="N163" s="436"/>
      <c r="O163" s="438"/>
      <c r="P163" s="258"/>
      <c r="Q163" s="258"/>
      <c r="R163" s="258"/>
    </row>
    <row r="164" spans="1:18" s="8" customFormat="1" ht="18.75" customHeight="1" x14ac:dyDescent="0.25">
      <c r="A164" s="258"/>
      <c r="B164" s="435"/>
      <c r="C164" s="35"/>
      <c r="G164" s="258"/>
      <c r="H164" s="258"/>
      <c r="K164" s="258"/>
      <c r="L164" s="436"/>
      <c r="M164" s="437"/>
      <c r="N164" s="436"/>
      <c r="O164" s="438"/>
      <c r="P164" s="258"/>
      <c r="Q164" s="258"/>
      <c r="R164" s="258"/>
    </row>
    <row r="165" spans="1:18" s="8" customFormat="1" ht="18.75" customHeight="1" x14ac:dyDescent="0.25">
      <c r="A165" s="258"/>
      <c r="B165" s="435"/>
      <c r="C165" s="35"/>
      <c r="G165" s="258"/>
      <c r="H165" s="258"/>
      <c r="K165" s="258"/>
      <c r="L165" s="436"/>
      <c r="M165" s="437"/>
      <c r="N165" s="436"/>
      <c r="O165" s="438"/>
      <c r="P165" s="258"/>
      <c r="Q165" s="258"/>
      <c r="R165" s="258"/>
    </row>
    <row r="166" spans="1:18" s="8" customFormat="1" ht="18.75" customHeight="1" x14ac:dyDescent="0.25">
      <c r="A166" s="258"/>
      <c r="B166" s="435"/>
      <c r="C166" s="35"/>
      <c r="G166" s="258"/>
      <c r="H166" s="258"/>
      <c r="K166" s="258"/>
      <c r="L166" s="436"/>
      <c r="M166" s="437"/>
      <c r="N166" s="436"/>
      <c r="O166" s="438"/>
      <c r="P166" s="258"/>
      <c r="Q166" s="258"/>
      <c r="R166" s="258"/>
    </row>
  </sheetData>
  <sheetProtection password="CEF9" sheet="1"/>
  <mergeCells count="2">
    <mergeCell ref="A2:Q2"/>
    <mergeCell ref="A1:R1"/>
  </mergeCells>
  <pageMargins left="0.45" right="0.45" top="0.5" bottom="0.5" header="0.3" footer="0.3"/>
  <pageSetup paperSize="9" scale="29" orientation="portrait"/>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4" max="13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67"/>
  <sheetViews>
    <sheetView view="pageBreakPreview" zoomScale="55" zoomScaleNormal="100" zoomScaleSheetLayoutView="55" workbookViewId="0">
      <pane ySplit="5" topLeftCell="A6" activePane="bottomLeft" state="frozen"/>
      <selection activeCell="D115" sqref="D115"/>
      <selection pane="bottomLeft" activeCell="I14" sqref="I14"/>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1" width="13.81640625" style="8" customWidth="1"/>
    <col min="12" max="12" width="13.54296875" style="295" bestFit="1" customWidth="1"/>
    <col min="13" max="13" width="16.81640625" style="296" bestFit="1" customWidth="1"/>
    <col min="14" max="14" width="15.54296875" style="29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str">
        <f>'[1]SECTION 1-P&amp;G'!A2:K2</f>
        <v>MUT - Alternative Energy supply</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303"/>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310"/>
      <c r="O4" s="258"/>
    </row>
    <row r="5" spans="1:15" ht="45.75" customHeight="1" thickTop="1" x14ac:dyDescent="0.3">
      <c r="A5" s="311" t="s">
        <v>34</v>
      </c>
      <c r="B5" s="312" t="s">
        <v>4</v>
      </c>
      <c r="C5" s="33" t="s">
        <v>35</v>
      </c>
      <c r="D5" s="33" t="s">
        <v>36</v>
      </c>
      <c r="E5" s="40" t="s">
        <v>72</v>
      </c>
      <c r="F5" s="82" t="s">
        <v>73</v>
      </c>
      <c r="G5" s="313" t="s">
        <v>74</v>
      </c>
      <c r="H5" s="314" t="s">
        <v>75</v>
      </c>
      <c r="I5" s="82" t="s">
        <v>73</v>
      </c>
      <c r="J5" s="315" t="s">
        <v>76</v>
      </c>
      <c r="K5" s="439"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325"/>
      <c r="O6" s="258"/>
    </row>
    <row r="7" spans="1:15" ht="32.15" customHeight="1" x14ac:dyDescent="0.3">
      <c r="A7" s="326">
        <v>2</v>
      </c>
      <c r="B7" s="327"/>
      <c r="C7" s="59"/>
      <c r="D7" s="60" t="s">
        <v>80</v>
      </c>
      <c r="E7" s="60"/>
      <c r="F7" s="60"/>
      <c r="G7" s="328"/>
      <c r="H7" s="328"/>
      <c r="I7" s="60"/>
      <c r="J7" s="60"/>
      <c r="K7" s="328"/>
      <c r="L7" s="329"/>
      <c r="M7" s="329"/>
      <c r="N7" s="330"/>
      <c r="O7" s="258"/>
    </row>
    <row r="8" spans="1:15" ht="16.5" customHeight="1" thickBot="1" x14ac:dyDescent="0.35">
      <c r="A8" s="331"/>
      <c r="B8" s="332"/>
      <c r="C8" s="63"/>
      <c r="D8" s="64"/>
      <c r="E8" s="64"/>
      <c r="F8" s="64"/>
      <c r="G8" s="333"/>
      <c r="H8" s="333"/>
      <c r="I8" s="64"/>
      <c r="J8" s="64"/>
      <c r="K8" s="333"/>
      <c r="L8" s="334"/>
      <c r="M8" s="334"/>
      <c r="N8" s="335"/>
      <c r="O8" s="258"/>
    </row>
    <row r="9" spans="1:15" ht="16.5" customHeight="1" x14ac:dyDescent="0.3">
      <c r="A9" s="336" t="s">
        <v>81</v>
      </c>
      <c r="B9" s="337"/>
      <c r="C9" s="252"/>
      <c r="D9" s="61" t="s">
        <v>82</v>
      </c>
      <c r="E9" s="62"/>
      <c r="F9" s="62"/>
      <c r="G9" s="338"/>
      <c r="H9" s="338"/>
      <c r="I9" s="62"/>
      <c r="J9" s="62"/>
      <c r="K9" s="338"/>
      <c r="L9" s="339"/>
      <c r="M9" s="339"/>
      <c r="N9" s="340"/>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347" t="s">
        <v>229</v>
      </c>
      <c r="C11" s="248" t="s">
        <v>85</v>
      </c>
      <c r="D11" s="1">
        <v>86</v>
      </c>
      <c r="E11" s="36">
        <f>1623.93</f>
        <v>1623.93</v>
      </c>
      <c r="F11" s="41">
        <v>0.25</v>
      </c>
      <c r="G11" s="348">
        <f>E11/(1-F11)</f>
        <v>2165.2400000000002</v>
      </c>
      <c r="H11" s="348">
        <v>350</v>
      </c>
      <c r="I11" s="83">
        <v>0.15</v>
      </c>
      <c r="J11" s="79">
        <f>H11*(1+I11)</f>
        <v>402.49999999999994</v>
      </c>
      <c r="K11" s="349">
        <f>J11*D11</f>
        <v>34614.999999999993</v>
      </c>
      <c r="L11" s="350">
        <f>G11+J11</f>
        <v>2567.7400000000002</v>
      </c>
      <c r="M11" s="351">
        <f>D11*L11</f>
        <v>220825.64</v>
      </c>
      <c r="N11" s="258"/>
      <c r="O11" s="258"/>
    </row>
    <row r="12" spans="1:15" ht="14.5" customHeight="1" thickBot="1" x14ac:dyDescent="0.35">
      <c r="A12" s="354"/>
      <c r="B12" s="355"/>
      <c r="C12" s="97"/>
      <c r="D12" s="72"/>
      <c r="E12" s="73"/>
      <c r="F12" s="74"/>
      <c r="G12" s="356"/>
      <c r="H12" s="356"/>
      <c r="I12" s="73"/>
      <c r="J12" s="73"/>
      <c r="K12" s="357"/>
      <c r="L12" s="358"/>
      <c r="M12" s="358"/>
      <c r="N12" s="258"/>
      <c r="O12" s="258"/>
    </row>
    <row r="13" spans="1:15" ht="14.15" customHeight="1" x14ac:dyDescent="0.3">
      <c r="A13" s="359" t="s">
        <v>86</v>
      </c>
      <c r="B13" s="360"/>
      <c r="C13" s="255"/>
      <c r="D13" s="58" t="s">
        <v>87</v>
      </c>
      <c r="E13" s="56"/>
      <c r="F13" s="57"/>
      <c r="G13" s="361"/>
      <c r="H13" s="361"/>
      <c r="I13" s="56"/>
      <c r="J13" s="56"/>
      <c r="K13" s="362"/>
      <c r="L13" s="363"/>
      <c r="M13" s="363"/>
      <c r="N13" s="258"/>
      <c r="O13" s="258"/>
    </row>
    <row r="14" spans="1:15" ht="28.5" customHeight="1" thickBot="1" x14ac:dyDescent="0.35">
      <c r="A14" s="341" t="s">
        <v>88</v>
      </c>
      <c r="B14" s="365" t="s">
        <v>230</v>
      </c>
      <c r="C14" s="248" t="s">
        <v>90</v>
      </c>
      <c r="D14" s="1">
        <v>3</v>
      </c>
      <c r="E14" s="36">
        <v>87286.19</v>
      </c>
      <c r="F14" s="41">
        <v>0.2</v>
      </c>
      <c r="G14" s="348">
        <f>E14/(1-F14)</f>
        <v>109107.7375</v>
      </c>
      <c r="H14" s="348">
        <f>(550*8)+3600</f>
        <v>8000</v>
      </c>
      <c r="I14" s="83">
        <v>0.15</v>
      </c>
      <c r="J14" s="79">
        <f>H14*(1+I14)</f>
        <v>9200</v>
      </c>
      <c r="K14" s="349">
        <f>J14*D14</f>
        <v>27600</v>
      </c>
      <c r="L14" s="350">
        <f>G14+J14</f>
        <v>118307.7375</v>
      </c>
      <c r="M14" s="351">
        <f>D14*L14</f>
        <v>354923.21250000002</v>
      </c>
      <c r="N14" s="258"/>
      <c r="O14" s="258"/>
    </row>
    <row r="15" spans="1:15" ht="14.5" customHeight="1" thickBot="1" x14ac:dyDescent="0.35">
      <c r="A15" s="354"/>
      <c r="B15" s="355"/>
      <c r="C15" s="97"/>
      <c r="D15" s="72"/>
      <c r="E15" s="73"/>
      <c r="F15" s="74"/>
      <c r="G15" s="356"/>
      <c r="H15" s="356"/>
      <c r="I15" s="73"/>
      <c r="J15" s="73"/>
      <c r="K15" s="357"/>
      <c r="L15" s="358"/>
      <c r="M15" s="358"/>
      <c r="N15" s="258"/>
      <c r="O15" s="258"/>
    </row>
    <row r="16" spans="1:15" ht="14.15" customHeight="1" x14ac:dyDescent="0.3">
      <c r="A16" s="359">
        <v>2.2999999999999998</v>
      </c>
      <c r="B16" s="367"/>
      <c r="C16" s="255"/>
      <c r="D16" s="58" t="s">
        <v>91</v>
      </c>
      <c r="E16" s="56"/>
      <c r="F16" s="57"/>
      <c r="G16" s="361"/>
      <c r="H16" s="361"/>
      <c r="I16" s="56"/>
      <c r="J16" s="56"/>
      <c r="K16" s="362"/>
      <c r="L16" s="363"/>
      <c r="M16" s="363"/>
      <c r="N16" s="258"/>
      <c r="O16" s="258"/>
    </row>
    <row r="17" spans="1:15" ht="14.15" customHeight="1" x14ac:dyDescent="0.3">
      <c r="A17" s="341" t="s">
        <v>92</v>
      </c>
      <c r="B17" s="368" t="s">
        <v>231</v>
      </c>
      <c r="C17" s="30" t="s">
        <v>90</v>
      </c>
      <c r="D17" s="1">
        <v>1</v>
      </c>
      <c r="E17" s="36">
        <v>20000</v>
      </c>
      <c r="F17" s="41">
        <v>0.2</v>
      </c>
      <c r="G17" s="348">
        <f>E17/(1-F17)</f>
        <v>25000</v>
      </c>
      <c r="H17" s="348">
        <f>(550*4)+3500</f>
        <v>5700</v>
      </c>
      <c r="I17" s="83">
        <v>0.15</v>
      </c>
      <c r="J17" s="79">
        <f>H17*(1+I17)</f>
        <v>6554.9999999999991</v>
      </c>
      <c r="K17" s="349">
        <f>J17*D17</f>
        <v>6554.9999999999991</v>
      </c>
      <c r="L17" s="350">
        <f>G17+J17</f>
        <v>31555</v>
      </c>
      <c r="M17" s="351">
        <f>D17*L17</f>
        <v>31555</v>
      </c>
      <c r="N17" s="258"/>
      <c r="O17" s="258"/>
    </row>
    <row r="18" spans="1:15" ht="14.5" customHeight="1" thickBot="1" x14ac:dyDescent="0.35">
      <c r="A18" s="341" t="s">
        <v>94</v>
      </c>
      <c r="B18" s="368" t="s">
        <v>95</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258"/>
      <c r="O18" s="369"/>
    </row>
    <row r="19" spans="1:15" ht="14.15" customHeight="1" x14ac:dyDescent="0.3">
      <c r="A19" s="359">
        <v>2.4</v>
      </c>
      <c r="B19" s="360"/>
      <c r="C19" s="255"/>
      <c r="D19" s="58" t="s">
        <v>96</v>
      </c>
      <c r="E19" s="56"/>
      <c r="F19" s="57"/>
      <c r="G19" s="361"/>
      <c r="H19" s="361"/>
      <c r="I19" s="56"/>
      <c r="J19" s="56"/>
      <c r="K19" s="362"/>
      <c r="L19" s="363"/>
      <c r="M19" s="363"/>
      <c r="N19" s="258"/>
      <c r="O19" s="258"/>
    </row>
    <row r="20" spans="1:15" ht="28" customHeight="1" x14ac:dyDescent="0.3">
      <c r="A20" s="370" t="s">
        <v>97</v>
      </c>
      <c r="B20" s="365" t="s">
        <v>232</v>
      </c>
      <c r="C20" s="7" t="s">
        <v>85</v>
      </c>
      <c r="D20" s="7">
        <v>3</v>
      </c>
      <c r="E20" s="37">
        <f>906452.58*1.2</f>
        <v>1087743.0959999999</v>
      </c>
      <c r="F20" s="41">
        <v>0.2</v>
      </c>
      <c r="G20" s="348">
        <f>E20/(1-F20)</f>
        <v>1359678.8699999999</v>
      </c>
      <c r="H20" s="371">
        <f>(550*8)+3600</f>
        <v>8000</v>
      </c>
      <c r="I20" s="83">
        <v>0.15</v>
      </c>
      <c r="J20" s="79">
        <f>H20*(1+I20)</f>
        <v>9200</v>
      </c>
      <c r="K20" s="349">
        <f>J20*D20</f>
        <v>27600</v>
      </c>
      <c r="L20" s="350">
        <f>G20+J20</f>
        <v>1368878.8699999999</v>
      </c>
      <c r="M20" s="351">
        <f>D20*L20</f>
        <v>4106636.6099999994</v>
      </c>
      <c r="N20" s="258"/>
      <c r="O20" s="258"/>
    </row>
    <row r="21" spans="1:15" ht="14.15" customHeight="1" x14ac:dyDescent="0.3">
      <c r="A21" s="370"/>
      <c r="B21" s="373"/>
      <c r="C21" s="3"/>
      <c r="D21" s="7"/>
      <c r="E21" s="37"/>
      <c r="F21" s="41"/>
      <c r="G21" s="348"/>
      <c r="H21" s="371"/>
      <c r="I21" s="66"/>
      <c r="J21" s="66"/>
      <c r="K21" s="349"/>
      <c r="L21" s="350"/>
      <c r="M21" s="351"/>
      <c r="N21" s="258"/>
      <c r="O21" s="258"/>
    </row>
    <row r="22" spans="1:15" ht="14.15" customHeight="1" x14ac:dyDescent="0.3">
      <c r="A22" s="370" t="s">
        <v>99</v>
      </c>
      <c r="B22" s="373"/>
      <c r="C22" s="3"/>
      <c r="D22" s="7"/>
      <c r="E22" s="37"/>
      <c r="F22" s="41"/>
      <c r="G22" s="348"/>
      <c r="H22" s="371"/>
      <c r="I22" s="66"/>
      <c r="J22" s="66"/>
      <c r="K22" s="349"/>
      <c r="L22" s="350"/>
      <c r="M22" s="351"/>
      <c r="N22" s="258"/>
      <c r="O22" s="258"/>
    </row>
    <row r="23" spans="1:15" ht="28.5" customHeight="1" thickBot="1" x14ac:dyDescent="0.35">
      <c r="A23" s="374"/>
      <c r="B23" s="375" t="s">
        <v>100</v>
      </c>
      <c r="C23" s="68" t="s">
        <v>90</v>
      </c>
      <c r="D23" s="68">
        <v>6</v>
      </c>
      <c r="E23" s="69">
        <f>1888.71*1.15</f>
        <v>2172.0164999999997</v>
      </c>
      <c r="F23" s="52">
        <v>0.2</v>
      </c>
      <c r="G23" s="376">
        <f>E23/(1-F23)</f>
        <v>2715.0206249999997</v>
      </c>
      <c r="H23" s="377">
        <f>250*1</f>
        <v>250</v>
      </c>
      <c r="I23" s="83">
        <v>0.15</v>
      </c>
      <c r="J23" s="79">
        <f>H23*(1+I23)</f>
        <v>287.5</v>
      </c>
      <c r="K23" s="349">
        <f>J23*D23</f>
        <v>1725</v>
      </c>
      <c r="L23" s="350">
        <f>G23+J23</f>
        <v>3002.5206249999997</v>
      </c>
      <c r="M23" s="378">
        <f>D23*L23</f>
        <v>18015.123749999999</v>
      </c>
      <c r="N23" s="258"/>
      <c r="O23" s="258"/>
    </row>
    <row r="24" spans="1:15" ht="14.5" customHeight="1" thickBot="1" x14ac:dyDescent="0.35">
      <c r="A24" s="354"/>
      <c r="B24" s="355"/>
      <c r="C24" s="97"/>
      <c r="D24" s="72"/>
      <c r="E24" s="73"/>
      <c r="F24" s="74"/>
      <c r="G24" s="356"/>
      <c r="H24" s="356"/>
      <c r="I24" s="73"/>
      <c r="J24" s="73"/>
      <c r="K24" s="357"/>
      <c r="L24" s="358"/>
      <c r="M24" s="358"/>
      <c r="N24" s="258"/>
      <c r="O24" s="258"/>
    </row>
    <row r="25" spans="1:15" ht="14.15" customHeight="1" x14ac:dyDescent="0.3">
      <c r="A25" s="379">
        <v>2.5</v>
      </c>
      <c r="B25" s="360"/>
      <c r="C25" s="255"/>
      <c r="D25" s="58" t="s">
        <v>101</v>
      </c>
      <c r="E25" s="56"/>
      <c r="F25" s="57"/>
      <c r="G25" s="361"/>
      <c r="H25" s="361"/>
      <c r="I25" s="56"/>
      <c r="J25" s="56"/>
      <c r="K25" s="362"/>
      <c r="L25" s="363"/>
      <c r="M25" s="363"/>
      <c r="N25" s="258"/>
      <c r="O25" s="258"/>
    </row>
    <row r="26" spans="1:15" ht="14.15" customHeight="1" x14ac:dyDescent="0.3">
      <c r="A26" s="380" t="s">
        <v>102</v>
      </c>
      <c r="B26" s="368" t="s">
        <v>103</v>
      </c>
      <c r="C26" s="7" t="s">
        <v>85</v>
      </c>
      <c r="D26" s="7">
        <f>D11</f>
        <v>86</v>
      </c>
      <c r="E26" s="37">
        <v>650</v>
      </c>
      <c r="F26" s="41">
        <v>0.2</v>
      </c>
      <c r="G26" s="348">
        <f>E26/(1-F26)</f>
        <v>812.5</v>
      </c>
      <c r="H26" s="371">
        <f>(((5*200)*4)*1.2)/D26</f>
        <v>55.813953488372093</v>
      </c>
      <c r="I26" s="83">
        <v>0.15</v>
      </c>
      <c r="J26" s="79">
        <f>H26*(1+I26)</f>
        <v>64.186046511627907</v>
      </c>
      <c r="K26" s="349">
        <f>J26*D26</f>
        <v>5520</v>
      </c>
      <c r="L26" s="350">
        <f>G26+J26</f>
        <v>876.68604651162786</v>
      </c>
      <c r="M26" s="351">
        <f>D26*L26</f>
        <v>75395</v>
      </c>
      <c r="N26" s="258"/>
      <c r="O26" s="258"/>
    </row>
    <row r="27" spans="1:15" ht="14.5" customHeight="1" thickBot="1" x14ac:dyDescent="0.35">
      <c r="A27" s="381"/>
      <c r="B27" s="375" t="s">
        <v>104</v>
      </c>
      <c r="C27" s="49"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355"/>
      <c r="C28" s="97"/>
      <c r="D28" s="72"/>
      <c r="E28" s="73"/>
      <c r="F28" s="74"/>
      <c r="G28" s="356"/>
      <c r="H28" s="356"/>
      <c r="I28" s="73"/>
      <c r="J28" s="73"/>
      <c r="K28" s="357"/>
      <c r="L28" s="358"/>
      <c r="M28" s="358"/>
      <c r="N28" s="258"/>
      <c r="O28" s="258"/>
    </row>
    <row r="29" spans="1:15" ht="14.15" customHeight="1" x14ac:dyDescent="0.3">
      <c r="A29" s="359">
        <v>2.6</v>
      </c>
      <c r="B29" s="360"/>
      <c r="C29" s="255"/>
      <c r="D29" s="58" t="s">
        <v>105</v>
      </c>
      <c r="E29" s="56"/>
      <c r="F29" s="57"/>
      <c r="G29" s="361"/>
      <c r="H29" s="361"/>
      <c r="I29" s="56"/>
      <c r="J29" s="56"/>
      <c r="K29" s="362"/>
      <c r="L29" s="363"/>
      <c r="M29" s="363"/>
      <c r="N29" s="258"/>
      <c r="O29" s="258"/>
    </row>
    <row r="30" spans="1:15" ht="42" customHeight="1" x14ac:dyDescent="0.3">
      <c r="A30" s="341" t="s">
        <v>106</v>
      </c>
      <c r="B30" s="368" t="s">
        <v>107</v>
      </c>
      <c r="C30" s="248" t="s">
        <v>108</v>
      </c>
      <c r="D30" s="1">
        <v>230</v>
      </c>
      <c r="E30" s="36">
        <f>14.85*1.15</f>
        <v>17.077499999999997</v>
      </c>
      <c r="F30" s="41">
        <v>0.2</v>
      </c>
      <c r="G30" s="348">
        <f>E30/(1-F30)</f>
        <v>21.346874999999994</v>
      </c>
      <c r="H30" s="348">
        <f>39</f>
        <v>39</v>
      </c>
      <c r="I30" s="83">
        <v>0.15</v>
      </c>
      <c r="J30" s="79">
        <f>H30*(1+I30)</f>
        <v>44.849999999999994</v>
      </c>
      <c r="K30" s="349">
        <f>J30*D30</f>
        <v>10315.499999999998</v>
      </c>
      <c r="L30" s="350">
        <f>G30+J30</f>
        <v>66.196874999999991</v>
      </c>
      <c r="M30" s="351">
        <f>D30*L30</f>
        <v>15225.281249999998</v>
      </c>
      <c r="N30" s="258"/>
      <c r="O30" s="258"/>
    </row>
    <row r="31" spans="1:15" ht="14.15" customHeight="1" x14ac:dyDescent="0.3">
      <c r="A31" s="341" t="s">
        <v>109</v>
      </c>
      <c r="B31" s="373" t="s">
        <v>110</v>
      </c>
      <c r="C31" s="30" t="s">
        <v>108</v>
      </c>
      <c r="D31" s="1">
        <v>6</v>
      </c>
      <c r="E31" s="36">
        <f>180*1.15</f>
        <v>206.99999999999997</v>
      </c>
      <c r="F31" s="41">
        <v>0.2</v>
      </c>
      <c r="G31" s="348">
        <f>E31/(1-F31)</f>
        <v>258.74999999999994</v>
      </c>
      <c r="H31" s="348">
        <f>65</f>
        <v>65</v>
      </c>
      <c r="I31" s="83">
        <v>0.15</v>
      </c>
      <c r="J31" s="79">
        <f>H31*(1+I31)</f>
        <v>74.75</v>
      </c>
      <c r="K31" s="349">
        <f>J31*D31</f>
        <v>448.5</v>
      </c>
      <c r="L31" s="350">
        <f>G31+J31</f>
        <v>333.49999999999994</v>
      </c>
      <c r="M31" s="351">
        <f>D31*L31</f>
        <v>2000.9999999999995</v>
      </c>
      <c r="N31" s="258"/>
      <c r="O31" s="258"/>
    </row>
    <row r="32" spans="1:15" ht="14.15" customHeight="1" x14ac:dyDescent="0.3">
      <c r="A32" s="341" t="s">
        <v>111</v>
      </c>
      <c r="B32" s="373" t="s">
        <v>112</v>
      </c>
      <c r="C32" s="30"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258"/>
    </row>
    <row r="33" spans="1:15" ht="14.5" customHeight="1" thickBot="1" x14ac:dyDescent="0.35">
      <c r="A33" s="381"/>
      <c r="B33" s="383" t="s">
        <v>113</v>
      </c>
      <c r="C33" s="49"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355"/>
      <c r="C34" s="97"/>
      <c r="D34" s="72"/>
      <c r="E34" s="73"/>
      <c r="F34" s="74"/>
      <c r="G34" s="356"/>
      <c r="H34" s="356"/>
      <c r="I34" s="73"/>
      <c r="J34" s="73"/>
      <c r="K34" s="357"/>
      <c r="L34" s="358"/>
      <c r="M34" s="358"/>
      <c r="N34" s="258"/>
      <c r="O34" s="258"/>
    </row>
    <row r="35" spans="1:15" ht="14.15" customHeight="1" x14ac:dyDescent="0.3">
      <c r="A35" s="359">
        <v>2.7</v>
      </c>
      <c r="B35" s="360"/>
      <c r="C35" s="255"/>
      <c r="D35" s="58" t="s">
        <v>114</v>
      </c>
      <c r="E35" s="56"/>
      <c r="F35" s="57"/>
      <c r="G35" s="361"/>
      <c r="H35" s="361"/>
      <c r="I35" s="56"/>
      <c r="J35" s="56"/>
      <c r="K35" s="362"/>
      <c r="L35" s="363"/>
      <c r="M35" s="363"/>
      <c r="N35" s="258"/>
      <c r="O35" s="258"/>
    </row>
    <row r="36" spans="1:15" ht="28" customHeight="1" x14ac:dyDescent="0.3">
      <c r="A36" s="370" t="s">
        <v>115</v>
      </c>
      <c r="B36" s="368" t="s">
        <v>116</v>
      </c>
      <c r="C36" s="7" t="s">
        <v>85</v>
      </c>
      <c r="D36" s="7">
        <v>1</v>
      </c>
      <c r="E36" s="37">
        <f>13501.37*1.2</f>
        <v>16201.644</v>
      </c>
      <c r="F36" s="41">
        <v>0.2</v>
      </c>
      <c r="G36" s="348">
        <f>E36/(1-F36)</f>
        <v>20252.055</v>
      </c>
      <c r="H36" s="371">
        <f>250*2</f>
        <v>500</v>
      </c>
      <c r="I36" s="83">
        <v>0.15</v>
      </c>
      <c r="J36" s="79">
        <f>H36*(1+I36)</f>
        <v>575</v>
      </c>
      <c r="K36" s="349">
        <f>J36*D36</f>
        <v>575</v>
      </c>
      <c r="L36" s="350">
        <f>G36+J36</f>
        <v>20827.055</v>
      </c>
      <c r="M36" s="351">
        <f>D36*L36</f>
        <v>20827.055</v>
      </c>
      <c r="N36" s="258"/>
      <c r="O36" s="258"/>
    </row>
    <row r="37" spans="1:15" ht="28.5" customHeight="1" thickBot="1" x14ac:dyDescent="0.35">
      <c r="A37" s="381" t="s">
        <v>117</v>
      </c>
      <c r="B37" s="375" t="s">
        <v>118</v>
      </c>
      <c r="C37" s="68" t="s">
        <v>85</v>
      </c>
      <c r="D37" s="68">
        <v>0</v>
      </c>
      <c r="E37" s="69">
        <f>13501.37*1.2</f>
        <v>16201.644</v>
      </c>
      <c r="F37" s="52">
        <v>0.2</v>
      </c>
      <c r="G37" s="376">
        <f>E37/(1-F37)</f>
        <v>20252.055</v>
      </c>
      <c r="H37" s="377">
        <f>250*2</f>
        <v>500</v>
      </c>
      <c r="I37" s="83">
        <v>0.15</v>
      </c>
      <c r="J37" s="79">
        <f>H37*(1+I37)</f>
        <v>575</v>
      </c>
      <c r="K37" s="382">
        <f>J37*D37</f>
        <v>0</v>
      </c>
      <c r="L37" s="350">
        <f>G37+J37</f>
        <v>20827.055</v>
      </c>
      <c r="M37" s="378">
        <f>D37*L37</f>
        <v>0</v>
      </c>
      <c r="N37" s="258"/>
      <c r="O37" s="258"/>
    </row>
    <row r="38" spans="1:15" ht="14.5" customHeight="1" thickBot="1" x14ac:dyDescent="0.35">
      <c r="A38" s="354"/>
      <c r="B38" s="355"/>
      <c r="C38" s="97"/>
      <c r="D38" s="72"/>
      <c r="E38" s="73"/>
      <c r="F38" s="74"/>
      <c r="G38" s="356"/>
      <c r="H38" s="356"/>
      <c r="I38" s="73"/>
      <c r="J38" s="73"/>
      <c r="K38" s="357"/>
      <c r="L38" s="358"/>
      <c r="M38" s="358"/>
      <c r="N38" s="258"/>
      <c r="O38" s="258"/>
    </row>
    <row r="39" spans="1:15" ht="16.5" customHeight="1" x14ac:dyDescent="0.3">
      <c r="A39" s="359">
        <v>2.8</v>
      </c>
      <c r="B39" s="360"/>
      <c r="C39" s="255"/>
      <c r="D39" s="58" t="s">
        <v>119</v>
      </c>
      <c r="E39" s="56"/>
      <c r="F39" s="57"/>
      <c r="G39" s="361"/>
      <c r="H39" s="361"/>
      <c r="I39" s="56"/>
      <c r="J39" s="56"/>
      <c r="K39" s="362"/>
      <c r="L39" s="363"/>
      <c r="M39" s="363"/>
      <c r="N39" s="258"/>
      <c r="O39" s="258"/>
    </row>
    <row r="40" spans="1:15" ht="16.5" customHeight="1" x14ac:dyDescent="0.3">
      <c r="A40" s="384"/>
      <c r="B40" s="342"/>
      <c r="C40" s="30"/>
      <c r="D40" s="1"/>
      <c r="E40" s="36"/>
      <c r="F40" s="41"/>
      <c r="G40" s="348"/>
      <c r="H40" s="348"/>
      <c r="I40" s="83"/>
      <c r="J40" s="79"/>
      <c r="K40" s="349"/>
      <c r="L40" s="350"/>
      <c r="M40" s="351"/>
      <c r="N40" s="258"/>
      <c r="O40" s="258"/>
    </row>
    <row r="41" spans="1:15" ht="14.15" customHeight="1" x14ac:dyDescent="0.3">
      <c r="A41" s="341" t="s">
        <v>120</v>
      </c>
      <c r="B41" s="385" t="s">
        <v>121</v>
      </c>
      <c r="C41" s="30" t="s">
        <v>85</v>
      </c>
      <c r="D41" s="1">
        <v>3</v>
      </c>
      <c r="E41" s="36">
        <v>2500</v>
      </c>
      <c r="F41" s="41">
        <v>0.2</v>
      </c>
      <c r="G41" s="348">
        <f>E41/(1-F41)</f>
        <v>3125</v>
      </c>
      <c r="H41" s="348">
        <f>(250+100)*4</f>
        <v>1400</v>
      </c>
      <c r="I41" s="83">
        <v>0.15</v>
      </c>
      <c r="J41" s="79">
        <f>H41*(1+I41)</f>
        <v>1609.9999999999998</v>
      </c>
      <c r="K41" s="349">
        <f>J41*D41</f>
        <v>4829.9999999999991</v>
      </c>
      <c r="L41" s="350">
        <f>G41+J41</f>
        <v>4735</v>
      </c>
      <c r="M41" s="351">
        <f>D41*L41</f>
        <v>14205</v>
      </c>
      <c r="N41" s="258"/>
      <c r="O41" s="258"/>
    </row>
    <row r="42" spans="1:15" ht="14.15" customHeight="1" x14ac:dyDescent="0.3">
      <c r="A42" s="341"/>
      <c r="B42" s="386"/>
      <c r="C42" s="103"/>
      <c r="D42" s="1"/>
      <c r="E42" s="36"/>
      <c r="F42" s="41"/>
      <c r="G42" s="348"/>
      <c r="H42" s="348"/>
      <c r="I42" s="79"/>
      <c r="J42" s="79"/>
      <c r="K42" s="349"/>
      <c r="L42" s="350"/>
      <c r="M42" s="351"/>
      <c r="N42" s="258"/>
      <c r="O42" s="258"/>
    </row>
    <row r="43" spans="1:15" ht="14.15" customHeight="1" x14ac:dyDescent="0.3">
      <c r="A43" s="341" t="s">
        <v>122</v>
      </c>
      <c r="B43" s="385" t="s">
        <v>123</v>
      </c>
      <c r="C43" s="30" t="s">
        <v>85</v>
      </c>
      <c r="D43" s="1">
        <v>0</v>
      </c>
      <c r="E43" s="36">
        <v>1800</v>
      </c>
      <c r="F43" s="41">
        <v>0.2</v>
      </c>
      <c r="G43" s="348">
        <f>E43/(1-F43)</f>
        <v>2250</v>
      </c>
      <c r="H43" s="348">
        <f>(250+100)*4</f>
        <v>1400</v>
      </c>
      <c r="I43" s="83">
        <v>0.15</v>
      </c>
      <c r="J43" s="79">
        <f>H43*(1+I43)</f>
        <v>1609.9999999999998</v>
      </c>
      <c r="K43" s="349">
        <f>J43*D43</f>
        <v>0</v>
      </c>
      <c r="L43" s="350">
        <f>G43+J43</f>
        <v>3860</v>
      </c>
      <c r="M43" s="351">
        <f>D43*L43</f>
        <v>0</v>
      </c>
      <c r="N43" s="258"/>
      <c r="O43" s="258"/>
    </row>
    <row r="44" spans="1:15" ht="14.15" customHeight="1" x14ac:dyDescent="0.3">
      <c r="A44" s="341"/>
      <c r="B44" s="385"/>
      <c r="C44" s="30"/>
      <c r="D44" s="1"/>
      <c r="E44" s="36"/>
      <c r="F44" s="41"/>
      <c r="G44" s="348"/>
      <c r="H44" s="348"/>
      <c r="I44" s="79"/>
      <c r="J44" s="79"/>
      <c r="K44" s="349"/>
      <c r="L44" s="350"/>
      <c r="M44" s="351"/>
      <c r="N44" s="258"/>
      <c r="O44" s="258"/>
    </row>
    <row r="45" spans="1:15" ht="14.15" customHeight="1" x14ac:dyDescent="0.3">
      <c r="A45" s="341" t="s">
        <v>124</v>
      </c>
      <c r="B45" s="385" t="s">
        <v>125</v>
      </c>
      <c r="C45" s="30" t="s">
        <v>85</v>
      </c>
      <c r="D45" s="1">
        <f>2 + N("Isolators")</f>
        <v>2</v>
      </c>
      <c r="E45" s="36">
        <v>1734.1</v>
      </c>
      <c r="F45" s="41">
        <v>0.2</v>
      </c>
      <c r="G45" s="348">
        <f>E45/(1-F45)</f>
        <v>2167.6249999999995</v>
      </c>
      <c r="H45" s="348">
        <f>(250+100)*4</f>
        <v>1400</v>
      </c>
      <c r="I45" s="83">
        <v>0.15</v>
      </c>
      <c r="J45" s="79">
        <f>H45*(1+I45)</f>
        <v>1609.9999999999998</v>
      </c>
      <c r="K45" s="349">
        <f>J45*D45</f>
        <v>3219.9999999999995</v>
      </c>
      <c r="L45" s="350">
        <f>G45+J45</f>
        <v>3777.6249999999991</v>
      </c>
      <c r="M45" s="351">
        <f>D45*L45</f>
        <v>7555.2499999999982</v>
      </c>
      <c r="N45" s="258"/>
      <c r="O45" s="258"/>
    </row>
    <row r="46" spans="1:15" ht="14.15" customHeight="1" x14ac:dyDescent="0.3">
      <c r="A46" s="341"/>
      <c r="B46" s="387"/>
      <c r="C46" s="103"/>
      <c r="D46" s="1"/>
      <c r="E46" s="36"/>
      <c r="F46" s="41"/>
      <c r="G46" s="348"/>
      <c r="H46" s="348"/>
      <c r="I46" s="79"/>
      <c r="J46" s="79"/>
      <c r="K46" s="349"/>
      <c r="L46" s="350"/>
      <c r="M46" s="351"/>
      <c r="N46" s="258"/>
      <c r="O46" s="258"/>
    </row>
    <row r="47" spans="1:15" ht="14.5" customHeight="1" thickBot="1" x14ac:dyDescent="0.35">
      <c r="A47" s="381" t="s">
        <v>126</v>
      </c>
      <c r="B47" s="388" t="s">
        <v>127</v>
      </c>
      <c r="C47" s="49" t="s">
        <v>85</v>
      </c>
      <c r="D47" s="50">
        <v>1</v>
      </c>
      <c r="E47" s="51">
        <f>550*1.2</f>
        <v>660</v>
      </c>
      <c r="F47" s="52">
        <v>0.2</v>
      </c>
      <c r="G47" s="376">
        <f>E47/(1-F47)</f>
        <v>825</v>
      </c>
      <c r="H47" s="376">
        <f>(250+100)*4</f>
        <v>1400</v>
      </c>
      <c r="I47" s="83">
        <v>0.15</v>
      </c>
      <c r="J47" s="79">
        <f>H47*(1+I47)</f>
        <v>1609.9999999999998</v>
      </c>
      <c r="K47" s="349">
        <f>J47*D47</f>
        <v>1609.9999999999998</v>
      </c>
      <c r="L47" s="350">
        <f>G47+J47</f>
        <v>2435</v>
      </c>
      <c r="M47" s="378">
        <f>D47*L47</f>
        <v>2435</v>
      </c>
      <c r="N47" s="258"/>
      <c r="O47" s="258"/>
    </row>
    <row r="48" spans="1:15" ht="14.5" customHeight="1" thickBot="1" x14ac:dyDescent="0.35">
      <c r="A48" s="354"/>
      <c r="B48" s="355"/>
      <c r="C48" s="97"/>
      <c r="D48" s="72"/>
      <c r="E48" s="73"/>
      <c r="F48" s="74"/>
      <c r="G48" s="356"/>
      <c r="H48" s="356"/>
      <c r="I48" s="73"/>
      <c r="J48" s="73"/>
      <c r="K48" s="357"/>
      <c r="L48" s="358"/>
      <c r="M48" s="358"/>
      <c r="N48" s="258"/>
      <c r="O48" s="258"/>
    </row>
    <row r="49" spans="1:15" ht="16.5" customHeight="1" x14ac:dyDescent="0.3">
      <c r="A49" s="359">
        <v>2.9</v>
      </c>
      <c r="B49" s="367"/>
      <c r="C49" s="255"/>
      <c r="D49" s="58" t="s">
        <v>128</v>
      </c>
      <c r="E49" s="56"/>
      <c r="F49" s="57"/>
      <c r="G49" s="361"/>
      <c r="H49" s="361"/>
      <c r="I49" s="56"/>
      <c r="J49" s="56"/>
      <c r="K49" s="362"/>
      <c r="L49" s="363"/>
      <c r="M49" s="363"/>
      <c r="N49" s="258"/>
      <c r="O49" s="258"/>
    </row>
    <row r="50" spans="1:15" ht="16.5" customHeight="1" x14ac:dyDescent="0.3">
      <c r="A50" s="341"/>
      <c r="B50" s="342"/>
      <c r="C50" s="30"/>
      <c r="D50" s="1"/>
      <c r="E50" s="36"/>
      <c r="F50" s="41"/>
      <c r="G50" s="348"/>
      <c r="H50" s="348"/>
      <c r="I50" s="79"/>
      <c r="J50" s="79"/>
      <c r="K50" s="349"/>
      <c r="L50" s="350"/>
      <c r="M50" s="351"/>
      <c r="N50" s="258"/>
      <c r="O50" s="258"/>
    </row>
    <row r="51" spans="1:15" ht="14.15" customHeight="1" x14ac:dyDescent="0.3">
      <c r="A51" s="341" t="s">
        <v>129</v>
      </c>
      <c r="B51" s="385" t="s">
        <v>130</v>
      </c>
      <c r="C51" s="30" t="s">
        <v>85</v>
      </c>
      <c r="D51" s="1">
        <v>0</v>
      </c>
      <c r="E51" s="36">
        <v>2500</v>
      </c>
      <c r="F51" s="41">
        <v>0.2</v>
      </c>
      <c r="G51" s="348">
        <f>E51/(1-F51)</f>
        <v>3125</v>
      </c>
      <c r="H51" s="348">
        <f>250*1</f>
        <v>250</v>
      </c>
      <c r="I51" s="83">
        <v>0.15</v>
      </c>
      <c r="J51" s="79">
        <f>H51*(1+I51)</f>
        <v>287.5</v>
      </c>
      <c r="K51" s="349">
        <f>J51*D51</f>
        <v>0</v>
      </c>
      <c r="L51" s="350">
        <f>G51+J51</f>
        <v>3412.5</v>
      </c>
      <c r="M51" s="351">
        <f>D51*L51</f>
        <v>0</v>
      </c>
      <c r="N51" s="258"/>
      <c r="O51" s="258"/>
    </row>
    <row r="52" spans="1:15" ht="14.15" customHeight="1" x14ac:dyDescent="0.3">
      <c r="A52" s="341"/>
      <c r="B52" s="385"/>
      <c r="C52" s="30"/>
      <c r="D52" s="1"/>
      <c r="E52" s="36"/>
      <c r="F52" s="41"/>
      <c r="G52" s="348"/>
      <c r="H52" s="348"/>
      <c r="I52" s="79"/>
      <c r="J52" s="79"/>
      <c r="K52" s="349"/>
      <c r="L52" s="350"/>
      <c r="M52" s="351"/>
      <c r="N52" s="258"/>
      <c r="O52" s="258"/>
    </row>
    <row r="53" spans="1:15" ht="14.15" customHeight="1" x14ac:dyDescent="0.3">
      <c r="A53" s="341" t="s">
        <v>131</v>
      </c>
      <c r="B53" s="385" t="s">
        <v>132</v>
      </c>
      <c r="C53" s="30" t="s">
        <v>85</v>
      </c>
      <c r="D53" s="1">
        <v>3</v>
      </c>
      <c r="E53" s="36">
        <v>5729</v>
      </c>
      <c r="F53" s="41">
        <v>0.2</v>
      </c>
      <c r="G53" s="348">
        <f>E53/(1-F53)</f>
        <v>7161.25</v>
      </c>
      <c r="H53" s="348">
        <v>250</v>
      </c>
      <c r="I53" s="83">
        <v>0.15</v>
      </c>
      <c r="J53" s="79">
        <f>H53*(1+I53)</f>
        <v>287.5</v>
      </c>
      <c r="K53" s="349">
        <f>J53*D53</f>
        <v>862.5</v>
      </c>
      <c r="L53" s="350">
        <f>G53+J53</f>
        <v>7448.75</v>
      </c>
      <c r="M53" s="351">
        <f>D53*L53</f>
        <v>22346.25</v>
      </c>
      <c r="N53" s="258"/>
      <c r="O53" s="258"/>
    </row>
    <row r="54" spans="1:15" ht="14.15" customHeight="1" x14ac:dyDescent="0.3">
      <c r="A54" s="341"/>
      <c r="B54" s="387"/>
      <c r="C54" s="103"/>
      <c r="D54" s="1"/>
      <c r="E54" s="36"/>
      <c r="F54" s="41"/>
      <c r="G54" s="348"/>
      <c r="H54" s="348"/>
      <c r="I54" s="79"/>
      <c r="J54" s="79"/>
      <c r="K54" s="349"/>
      <c r="L54" s="350"/>
      <c r="M54" s="351"/>
      <c r="N54" s="258"/>
      <c r="O54" s="258"/>
    </row>
    <row r="55" spans="1:15" ht="14.15" customHeight="1" x14ac:dyDescent="0.3">
      <c r="A55" s="341" t="s">
        <v>133</v>
      </c>
      <c r="B55" s="387" t="s">
        <v>134</v>
      </c>
      <c r="C55" s="30" t="s">
        <v>85</v>
      </c>
      <c r="D55" s="1">
        <v>1</v>
      </c>
      <c r="E55" s="36">
        <f>5729</f>
        <v>5729</v>
      </c>
      <c r="F55" s="41">
        <v>0.2</v>
      </c>
      <c r="G55" s="348">
        <f>E55/(1-F55)</f>
        <v>7161.25</v>
      </c>
      <c r="H55" s="348">
        <v>250</v>
      </c>
      <c r="I55" s="83">
        <v>0.15</v>
      </c>
      <c r="J55" s="79">
        <f>H55*(1+I55)</f>
        <v>287.5</v>
      </c>
      <c r="K55" s="349">
        <f>J55*D55</f>
        <v>287.5</v>
      </c>
      <c r="L55" s="350">
        <f>G55+J55</f>
        <v>7448.75</v>
      </c>
      <c r="M55" s="351">
        <f>D55*L55</f>
        <v>7448.75</v>
      </c>
      <c r="N55" s="258"/>
      <c r="O55" s="258"/>
    </row>
    <row r="56" spans="1:15" ht="14.15" customHeight="1" x14ac:dyDescent="0.3">
      <c r="A56" s="341"/>
      <c r="B56" s="387"/>
      <c r="C56" s="96"/>
      <c r="D56" s="1"/>
      <c r="E56" s="36"/>
      <c r="F56" s="41"/>
      <c r="G56" s="348"/>
      <c r="H56" s="348"/>
      <c r="I56" s="79"/>
      <c r="J56" s="79"/>
      <c r="K56" s="349"/>
      <c r="L56" s="350"/>
      <c r="M56" s="351"/>
      <c r="N56" s="258"/>
      <c r="O56" s="258"/>
    </row>
    <row r="57" spans="1:15" ht="28" customHeight="1" x14ac:dyDescent="0.3">
      <c r="A57" s="341" t="s">
        <v>135</v>
      </c>
      <c r="B57" s="385" t="s">
        <v>136</v>
      </c>
      <c r="C57" s="248" t="s">
        <v>85</v>
      </c>
      <c r="D57" s="1">
        <v>3</v>
      </c>
      <c r="E57" s="36">
        <v>350</v>
      </c>
      <c r="F57" s="41">
        <v>0.2</v>
      </c>
      <c r="G57" s="348">
        <f>E57/(1-F57)</f>
        <v>437.5</v>
      </c>
      <c r="H57" s="348">
        <v>250</v>
      </c>
      <c r="I57" s="83">
        <v>0.15</v>
      </c>
      <c r="J57" s="79">
        <f>H57*(1+I57)</f>
        <v>287.5</v>
      </c>
      <c r="K57" s="349">
        <f>J57*D57</f>
        <v>862.5</v>
      </c>
      <c r="L57" s="350">
        <f>G57+J57</f>
        <v>725</v>
      </c>
      <c r="M57" s="351">
        <f>D57*L57</f>
        <v>2175</v>
      </c>
      <c r="N57" s="258"/>
      <c r="O57" s="258"/>
    </row>
    <row r="58" spans="1:15" ht="14.15" customHeight="1" x14ac:dyDescent="0.3">
      <c r="A58" s="341"/>
      <c r="B58" s="387"/>
      <c r="C58" s="93"/>
      <c r="D58" s="1"/>
      <c r="E58" s="36"/>
      <c r="F58" s="41"/>
      <c r="G58" s="348"/>
      <c r="H58" s="348"/>
      <c r="I58" s="79"/>
      <c r="J58" s="79"/>
      <c r="K58" s="349"/>
      <c r="L58" s="350"/>
      <c r="M58" s="351"/>
      <c r="N58" s="258"/>
      <c r="O58" s="258"/>
    </row>
    <row r="59" spans="1:15" ht="14.15" customHeight="1" x14ac:dyDescent="0.3">
      <c r="A59" s="341" t="s">
        <v>137</v>
      </c>
      <c r="B59" s="385" t="s">
        <v>138</v>
      </c>
      <c r="C59" s="248" t="s">
        <v>108</v>
      </c>
      <c r="D59" s="1">
        <v>20</v>
      </c>
      <c r="E59" s="36">
        <f>35</f>
        <v>35</v>
      </c>
      <c r="F59" s="41">
        <v>0.2</v>
      </c>
      <c r="G59" s="348">
        <f>E59/(1-F59)</f>
        <v>43.75</v>
      </c>
      <c r="H59" s="348">
        <f>(65*3)</f>
        <v>195</v>
      </c>
      <c r="I59" s="83">
        <v>0.15</v>
      </c>
      <c r="J59" s="79">
        <f>H59*(1+I59)</f>
        <v>224.24999999999997</v>
      </c>
      <c r="K59" s="349">
        <f>J59*D59</f>
        <v>4484.9999999999991</v>
      </c>
      <c r="L59" s="350">
        <f>G59+J59</f>
        <v>268</v>
      </c>
      <c r="M59" s="351">
        <f>D59*L59</f>
        <v>5360</v>
      </c>
      <c r="N59" s="258"/>
      <c r="O59" s="258"/>
    </row>
    <row r="60" spans="1:15" ht="14.15" customHeight="1" x14ac:dyDescent="0.3">
      <c r="A60" s="341"/>
      <c r="B60" s="387"/>
      <c r="C60" s="96"/>
      <c r="D60" s="1"/>
      <c r="E60" s="36"/>
      <c r="F60" s="41"/>
      <c r="G60" s="348"/>
      <c r="H60" s="348"/>
      <c r="I60" s="79"/>
      <c r="J60" s="79"/>
      <c r="K60" s="349"/>
      <c r="L60" s="350"/>
      <c r="M60" s="351"/>
      <c r="N60" s="258"/>
      <c r="O60" s="258"/>
    </row>
    <row r="61" spans="1:15" ht="14.5" customHeight="1" thickBot="1" x14ac:dyDescent="0.35">
      <c r="A61" s="341" t="s">
        <v>139</v>
      </c>
      <c r="B61" s="385" t="s">
        <v>140</v>
      </c>
      <c r="C61" s="30" t="s">
        <v>42</v>
      </c>
      <c r="D61" s="1">
        <v>1</v>
      </c>
      <c r="E61" s="36">
        <v>1</v>
      </c>
      <c r="F61" s="41">
        <v>0.2</v>
      </c>
      <c r="G61" s="348">
        <f>E61/(1-F61)</f>
        <v>1.25</v>
      </c>
      <c r="H61" s="348">
        <f>2500*3</f>
        <v>7500</v>
      </c>
      <c r="I61" s="83">
        <v>0.15</v>
      </c>
      <c r="J61" s="79">
        <f>H61*(1+I61)</f>
        <v>8625</v>
      </c>
      <c r="K61" s="349">
        <f>J61*D61</f>
        <v>8625</v>
      </c>
      <c r="L61" s="350">
        <f>G61+J61</f>
        <v>8626.25</v>
      </c>
      <c r="M61" s="351">
        <f>D61*L61</f>
        <v>8626.25</v>
      </c>
      <c r="N61" s="258"/>
      <c r="O61" s="258"/>
    </row>
    <row r="62" spans="1:15" ht="14.5" customHeight="1" thickBot="1" x14ac:dyDescent="0.35">
      <c r="A62" s="354"/>
      <c r="B62" s="355"/>
      <c r="C62" s="97"/>
      <c r="D62" s="72"/>
      <c r="E62" s="73"/>
      <c r="F62" s="74"/>
      <c r="G62" s="356"/>
      <c r="H62" s="356"/>
      <c r="I62" s="73"/>
      <c r="J62" s="73"/>
      <c r="K62" s="357"/>
      <c r="L62" s="358"/>
      <c r="M62" s="358"/>
      <c r="N62" s="258"/>
      <c r="O62" s="258"/>
    </row>
    <row r="63" spans="1:15" ht="14.15" customHeight="1" x14ac:dyDescent="0.3">
      <c r="A63" s="389">
        <v>2.1</v>
      </c>
      <c r="B63" s="390"/>
      <c r="C63" s="251"/>
      <c r="D63" s="65" t="s">
        <v>141</v>
      </c>
      <c r="E63" s="53"/>
      <c r="F63" s="54"/>
      <c r="G63" s="391"/>
      <c r="H63" s="391"/>
      <c r="I63" s="53"/>
      <c r="J63" s="53"/>
      <c r="K63" s="392"/>
      <c r="L63" s="393"/>
      <c r="M63" s="393"/>
      <c r="N63" s="258"/>
      <c r="O63" s="258"/>
    </row>
    <row r="64" spans="1:15" ht="28" customHeight="1" x14ac:dyDescent="0.3">
      <c r="A64" s="370" t="s">
        <v>142</v>
      </c>
      <c r="B64" s="368" t="s">
        <v>143</v>
      </c>
      <c r="C64" s="7" t="s">
        <v>90</v>
      </c>
      <c r="D64" s="7">
        <v>3</v>
      </c>
      <c r="E64" s="37">
        <v>10000</v>
      </c>
      <c r="F64" s="41">
        <v>0.16</v>
      </c>
      <c r="G64" s="348">
        <f>E64/(1-F64)</f>
        <v>11904.761904761905</v>
      </c>
      <c r="H64" s="371">
        <v>200</v>
      </c>
      <c r="I64" s="83">
        <v>0.15</v>
      </c>
      <c r="J64" s="79">
        <f>H64*(1+I64)</f>
        <v>229.99999999999997</v>
      </c>
      <c r="K64" s="349">
        <f>J64*D64</f>
        <v>689.99999999999989</v>
      </c>
      <c r="L64" s="350">
        <f>G64+J64</f>
        <v>12134.761904761905</v>
      </c>
      <c r="M64" s="351">
        <f>D64*L64</f>
        <v>36404.28571428571</v>
      </c>
      <c r="N64" s="258"/>
      <c r="O64" s="258"/>
    </row>
    <row r="65" spans="1:15" ht="14.15" customHeight="1" x14ac:dyDescent="0.3">
      <c r="A65" s="394"/>
      <c r="B65" s="395"/>
      <c r="C65" s="248"/>
      <c r="D65" s="248"/>
      <c r="E65" s="36"/>
      <c r="F65" s="41"/>
      <c r="G65" s="348"/>
      <c r="H65" s="348"/>
      <c r="I65" s="79"/>
      <c r="J65" s="79"/>
      <c r="K65" s="349"/>
      <c r="L65" s="350"/>
      <c r="M65" s="351"/>
      <c r="N65" s="258"/>
      <c r="O65" s="258"/>
    </row>
    <row r="66" spans="1:15" ht="28.5" customHeight="1" thickBot="1" x14ac:dyDescent="0.35">
      <c r="A66" s="396" t="s">
        <v>144</v>
      </c>
      <c r="B66" s="375" t="s">
        <v>145</v>
      </c>
      <c r="C66" s="68" t="s">
        <v>90</v>
      </c>
      <c r="D66" s="68">
        <v>0</v>
      </c>
      <c r="E66" s="69">
        <v>7500</v>
      </c>
      <c r="F66" s="52">
        <v>0.16</v>
      </c>
      <c r="G66" s="376">
        <f>E66/(1-F66)</f>
        <v>8928.5714285714294</v>
      </c>
      <c r="H66" s="377">
        <v>200</v>
      </c>
      <c r="I66" s="83">
        <v>0.15</v>
      </c>
      <c r="J66" s="79">
        <f>H66*(1+I66)</f>
        <v>229.99999999999997</v>
      </c>
      <c r="K66" s="382">
        <f>J66*D66</f>
        <v>0</v>
      </c>
      <c r="L66" s="350">
        <f>G66+J66</f>
        <v>9158.5714285714294</v>
      </c>
      <c r="M66" s="378">
        <f>D66*L66</f>
        <v>0</v>
      </c>
      <c r="N66" s="258"/>
      <c r="O66" s="258"/>
    </row>
    <row r="67" spans="1:15" ht="14.5" customHeight="1" thickBot="1" x14ac:dyDescent="0.35">
      <c r="A67" s="397"/>
      <c r="B67" s="398"/>
      <c r="C67" s="97"/>
      <c r="D67" s="72"/>
      <c r="E67" s="73"/>
      <c r="F67" s="74"/>
      <c r="G67" s="356"/>
      <c r="H67" s="356"/>
      <c r="I67" s="73"/>
      <c r="J67" s="73"/>
      <c r="K67" s="357"/>
      <c r="L67" s="358"/>
      <c r="M67" s="358"/>
      <c r="N67" s="258"/>
      <c r="O67" s="258"/>
    </row>
    <row r="68" spans="1:15" ht="14.15" customHeight="1" x14ac:dyDescent="0.3">
      <c r="A68" s="359">
        <v>2.11</v>
      </c>
      <c r="B68" s="399"/>
      <c r="C68" s="100"/>
      <c r="D68" s="58" t="s">
        <v>146</v>
      </c>
      <c r="E68" s="56"/>
      <c r="F68" s="57"/>
      <c r="G68" s="361"/>
      <c r="H68" s="361"/>
      <c r="I68" s="56"/>
      <c r="J68" s="56"/>
      <c r="K68" s="362"/>
      <c r="L68" s="363"/>
      <c r="M68" s="363"/>
      <c r="N68" s="258"/>
      <c r="O68" s="258"/>
    </row>
    <row r="69" spans="1:15" ht="14.15" customHeight="1" x14ac:dyDescent="0.3">
      <c r="A69" s="341"/>
      <c r="B69" s="368"/>
      <c r="C69" s="104"/>
      <c r="D69" s="1"/>
      <c r="E69" s="36"/>
      <c r="F69" s="41"/>
      <c r="G69" s="348"/>
      <c r="H69" s="348"/>
      <c r="I69" s="79"/>
      <c r="J69" s="79"/>
      <c r="K69" s="349"/>
      <c r="L69" s="350"/>
      <c r="M69" s="351"/>
      <c r="N69" s="258"/>
      <c r="O69" s="258"/>
    </row>
    <row r="70" spans="1:15" ht="14.15" customHeight="1" x14ac:dyDescent="0.3">
      <c r="A70" s="341"/>
      <c r="B70" s="373" t="s">
        <v>147</v>
      </c>
      <c r="C70" s="103"/>
      <c r="D70" s="1"/>
      <c r="E70" s="36"/>
      <c r="F70" s="41"/>
      <c r="G70" s="348"/>
      <c r="H70" s="348"/>
      <c r="I70" s="79"/>
      <c r="J70" s="79"/>
      <c r="K70" s="349"/>
      <c r="L70" s="350"/>
      <c r="M70" s="351"/>
      <c r="N70" s="258"/>
      <c r="O70" s="258"/>
    </row>
    <row r="71" spans="1:15" ht="14.15" customHeight="1" x14ac:dyDescent="0.3">
      <c r="A71" s="341"/>
      <c r="B71" s="386"/>
      <c r="C71" s="103"/>
      <c r="D71" s="1"/>
      <c r="E71" s="36"/>
      <c r="F71" s="41"/>
      <c r="G71" s="348"/>
      <c r="H71" s="348"/>
      <c r="I71" s="79"/>
      <c r="J71" s="79"/>
      <c r="K71" s="349"/>
      <c r="L71" s="350"/>
      <c r="M71" s="351"/>
      <c r="N71" s="258"/>
      <c r="O71" s="258"/>
    </row>
    <row r="72" spans="1:15" ht="42" customHeight="1" x14ac:dyDescent="0.3">
      <c r="A72" s="341"/>
      <c r="B72" s="386" t="s">
        <v>148</v>
      </c>
      <c r="C72" s="103"/>
      <c r="D72" s="248"/>
      <c r="E72" s="36"/>
      <c r="F72" s="41"/>
      <c r="G72" s="348"/>
      <c r="H72" s="348"/>
      <c r="I72" s="79"/>
      <c r="J72" s="79"/>
      <c r="K72" s="349"/>
      <c r="L72" s="350"/>
      <c r="M72" s="351"/>
      <c r="N72" s="258"/>
      <c r="O72" s="258"/>
    </row>
    <row r="73" spans="1:15" ht="14.15" customHeight="1" x14ac:dyDescent="0.3">
      <c r="A73" s="384"/>
      <c r="B73" s="373"/>
      <c r="C73" s="103"/>
      <c r="D73" s="28"/>
      <c r="E73" s="38"/>
      <c r="F73" s="41"/>
      <c r="G73" s="348"/>
      <c r="H73" s="400"/>
      <c r="I73" s="81"/>
      <c r="J73" s="81"/>
      <c r="K73" s="349"/>
      <c r="L73" s="350"/>
      <c r="M73" s="351"/>
      <c r="N73" s="258"/>
      <c r="O73" s="258"/>
    </row>
    <row r="74" spans="1:15" ht="14.15" customHeight="1" x14ac:dyDescent="0.3">
      <c r="A74" s="341" t="s">
        <v>149</v>
      </c>
      <c r="B74" s="373" t="s">
        <v>150</v>
      </c>
      <c r="C74" s="103" t="s">
        <v>108</v>
      </c>
      <c r="D74" s="1">
        <v>12</v>
      </c>
      <c r="E74" s="36">
        <v>947.75</v>
      </c>
      <c r="F74" s="41">
        <v>0.25</v>
      </c>
      <c r="G74" s="348">
        <f t="shared" ref="G74:G79" si="0">E74/(1-F74)</f>
        <v>1263.6666666666667</v>
      </c>
      <c r="H74" s="348">
        <v>25</v>
      </c>
      <c r="I74" s="83">
        <v>0.15</v>
      </c>
      <c r="J74" s="79">
        <f t="shared" ref="J74:J79" si="1">H74*(1+I74)</f>
        <v>28.749999999999996</v>
      </c>
      <c r="K74" s="349">
        <f t="shared" ref="K74:K79" si="2">J74*D74</f>
        <v>344.99999999999994</v>
      </c>
      <c r="L74" s="350">
        <f t="shared" ref="L74:L79" si="3">G74+J74</f>
        <v>1292.4166666666667</v>
      </c>
      <c r="M74" s="351">
        <f t="shared" ref="M74:M79" si="4">D74*L74</f>
        <v>15509</v>
      </c>
      <c r="N74" s="258"/>
      <c r="O74" s="258"/>
    </row>
    <row r="75" spans="1:15" ht="14.15" customHeight="1" x14ac:dyDescent="0.3">
      <c r="A75" s="341" t="s">
        <v>151</v>
      </c>
      <c r="B75" s="373" t="s">
        <v>152</v>
      </c>
      <c r="C75" s="103" t="s">
        <v>108</v>
      </c>
      <c r="D75" s="1">
        <v>0</v>
      </c>
      <c r="E75" s="36">
        <v>686.12</v>
      </c>
      <c r="F75" s="41">
        <v>0.25</v>
      </c>
      <c r="G75" s="348">
        <f t="shared" si="0"/>
        <v>914.82666666666671</v>
      </c>
      <c r="H75" s="348">
        <v>25</v>
      </c>
      <c r="I75" s="83">
        <v>0.15</v>
      </c>
      <c r="J75" s="79">
        <f t="shared" si="1"/>
        <v>28.749999999999996</v>
      </c>
      <c r="K75" s="349">
        <f t="shared" si="2"/>
        <v>0</v>
      </c>
      <c r="L75" s="350">
        <f t="shared" si="3"/>
        <v>943.57666666666671</v>
      </c>
      <c r="M75" s="351">
        <f t="shared" si="4"/>
        <v>0</v>
      </c>
      <c r="N75" s="258"/>
      <c r="O75" s="258"/>
    </row>
    <row r="76" spans="1:15" ht="14.15" customHeight="1" x14ac:dyDescent="0.3">
      <c r="A76" s="341" t="s">
        <v>153</v>
      </c>
      <c r="B76" s="373" t="s">
        <v>154</v>
      </c>
      <c r="C76" s="103" t="s">
        <v>108</v>
      </c>
      <c r="D76" s="1">
        <v>0</v>
      </c>
      <c r="E76" s="36">
        <v>634</v>
      </c>
      <c r="F76" s="41">
        <v>0.25</v>
      </c>
      <c r="G76" s="348">
        <f t="shared" si="0"/>
        <v>845.33333333333337</v>
      </c>
      <c r="H76" s="348">
        <v>25</v>
      </c>
      <c r="I76" s="83">
        <v>0.15</v>
      </c>
      <c r="J76" s="79">
        <f t="shared" si="1"/>
        <v>28.749999999999996</v>
      </c>
      <c r="K76" s="349">
        <f t="shared" si="2"/>
        <v>0</v>
      </c>
      <c r="L76" s="350">
        <f t="shared" si="3"/>
        <v>874.08333333333337</v>
      </c>
      <c r="M76" s="351">
        <f t="shared" si="4"/>
        <v>0</v>
      </c>
      <c r="N76" s="258"/>
      <c r="O76" s="258"/>
    </row>
    <row r="77" spans="1:15" ht="14.15" customHeight="1" x14ac:dyDescent="0.3">
      <c r="A77" s="341" t="s">
        <v>155</v>
      </c>
      <c r="B77" s="373" t="s">
        <v>156</v>
      </c>
      <c r="C77" s="96" t="s">
        <v>108</v>
      </c>
      <c r="D77" s="1">
        <v>0</v>
      </c>
      <c r="E77" s="36">
        <v>450</v>
      </c>
      <c r="F77" s="41">
        <v>0.25</v>
      </c>
      <c r="G77" s="348">
        <f t="shared" si="0"/>
        <v>600</v>
      </c>
      <c r="H77" s="348">
        <v>25</v>
      </c>
      <c r="I77" s="83">
        <v>0.15</v>
      </c>
      <c r="J77" s="79">
        <f t="shared" si="1"/>
        <v>28.749999999999996</v>
      </c>
      <c r="K77" s="349">
        <f t="shared" si="2"/>
        <v>0</v>
      </c>
      <c r="L77" s="350">
        <f t="shared" si="3"/>
        <v>628.75</v>
      </c>
      <c r="M77" s="351">
        <f t="shared" si="4"/>
        <v>0</v>
      </c>
      <c r="N77" s="258"/>
      <c r="O77" s="258"/>
    </row>
    <row r="78" spans="1:15" ht="14.15" customHeight="1" x14ac:dyDescent="0.3">
      <c r="A78" s="341" t="s">
        <v>157</v>
      </c>
      <c r="B78" s="373" t="s">
        <v>158</v>
      </c>
      <c r="C78" s="96" t="s">
        <v>108</v>
      </c>
      <c r="D78" s="1">
        <v>0</v>
      </c>
      <c r="E78" s="36">
        <v>380</v>
      </c>
      <c r="F78" s="41">
        <v>0.25</v>
      </c>
      <c r="G78" s="348">
        <f t="shared" si="0"/>
        <v>506.66666666666669</v>
      </c>
      <c r="H78" s="348">
        <v>25</v>
      </c>
      <c r="I78" s="83">
        <v>0.15</v>
      </c>
      <c r="J78" s="79">
        <f t="shared" si="1"/>
        <v>28.749999999999996</v>
      </c>
      <c r="K78" s="349">
        <f t="shared" si="2"/>
        <v>0</v>
      </c>
      <c r="L78" s="350">
        <f t="shared" si="3"/>
        <v>535.41666666666663</v>
      </c>
      <c r="M78" s="351">
        <f t="shared" si="4"/>
        <v>0</v>
      </c>
      <c r="N78" s="258"/>
      <c r="O78" s="258"/>
    </row>
    <row r="79" spans="1:15" ht="14.5" customHeight="1" thickBot="1" x14ac:dyDescent="0.35">
      <c r="A79" s="381" t="s">
        <v>159</v>
      </c>
      <c r="B79" s="375" t="s">
        <v>160</v>
      </c>
      <c r="C79" s="99" t="s">
        <v>108</v>
      </c>
      <c r="D79" s="50">
        <v>0</v>
      </c>
      <c r="E79" s="51">
        <f>215</f>
        <v>215</v>
      </c>
      <c r="F79" s="52">
        <v>0.25</v>
      </c>
      <c r="G79" s="376">
        <f t="shared" si="0"/>
        <v>286.66666666666669</v>
      </c>
      <c r="H79" s="376">
        <v>25</v>
      </c>
      <c r="I79" s="83">
        <v>0.15</v>
      </c>
      <c r="J79" s="79">
        <f t="shared" si="1"/>
        <v>28.749999999999996</v>
      </c>
      <c r="K79" s="349">
        <f t="shared" si="2"/>
        <v>0</v>
      </c>
      <c r="L79" s="350">
        <f t="shared" si="3"/>
        <v>315.41666666666669</v>
      </c>
      <c r="M79" s="378">
        <f t="shared" si="4"/>
        <v>0</v>
      </c>
      <c r="N79" s="258"/>
      <c r="O79" s="258"/>
    </row>
    <row r="80" spans="1:15" ht="14.5" customHeight="1" thickBot="1" x14ac:dyDescent="0.35">
      <c r="A80" s="397"/>
      <c r="B80" s="398"/>
      <c r="C80" s="97"/>
      <c r="D80" s="72"/>
      <c r="E80" s="73"/>
      <c r="F80" s="74"/>
      <c r="G80" s="356"/>
      <c r="H80" s="356"/>
      <c r="I80" s="73"/>
      <c r="J80" s="73"/>
      <c r="K80" s="357"/>
      <c r="L80" s="358"/>
      <c r="M80" s="358"/>
      <c r="N80" s="258"/>
      <c r="O80" s="258"/>
    </row>
    <row r="81" spans="1:15" ht="14.15" customHeight="1" x14ac:dyDescent="0.3">
      <c r="A81" s="359">
        <v>2.12</v>
      </c>
      <c r="B81" s="399"/>
      <c r="C81" s="100"/>
      <c r="D81" s="58" t="s">
        <v>161</v>
      </c>
      <c r="E81" s="56"/>
      <c r="F81" s="57"/>
      <c r="G81" s="361"/>
      <c r="H81" s="361"/>
      <c r="I81" s="56"/>
      <c r="J81" s="56"/>
      <c r="K81" s="362"/>
      <c r="L81" s="363"/>
      <c r="M81" s="363"/>
      <c r="N81" s="258"/>
      <c r="O81" s="258"/>
    </row>
    <row r="82" spans="1:15" ht="14.15" customHeight="1" x14ac:dyDescent="0.3">
      <c r="A82" s="341"/>
      <c r="B82" s="368"/>
      <c r="C82" s="96"/>
      <c r="D82" s="1"/>
      <c r="E82" s="36"/>
      <c r="F82" s="41"/>
      <c r="G82" s="348"/>
      <c r="H82" s="348"/>
      <c r="I82" s="79"/>
      <c r="J82" s="79"/>
      <c r="K82" s="349"/>
      <c r="L82" s="350"/>
      <c r="M82" s="351"/>
      <c r="N82" s="258"/>
      <c r="O82" s="258"/>
    </row>
    <row r="83" spans="1:15" ht="14.15" customHeight="1" x14ac:dyDescent="0.3">
      <c r="A83" s="341" t="s">
        <v>162</v>
      </c>
      <c r="B83" s="373" t="s">
        <v>163</v>
      </c>
      <c r="C83" s="96" t="s">
        <v>108</v>
      </c>
      <c r="D83" s="1">
        <v>8</v>
      </c>
      <c r="E83" s="36">
        <v>200</v>
      </c>
      <c r="F83" s="41">
        <v>0.2</v>
      </c>
      <c r="G83" s="348">
        <f>E83/(1-F83)</f>
        <v>250</v>
      </c>
      <c r="H83" s="348">
        <v>50</v>
      </c>
      <c r="I83" s="83">
        <v>0.15</v>
      </c>
      <c r="J83" s="79">
        <f>H83*(1+I83)</f>
        <v>57.499999999999993</v>
      </c>
      <c r="K83" s="349">
        <f>J83*D83</f>
        <v>459.99999999999994</v>
      </c>
      <c r="L83" s="350">
        <f>G83+J83</f>
        <v>307.5</v>
      </c>
      <c r="M83" s="351">
        <f>D83*L83</f>
        <v>2460</v>
      </c>
      <c r="N83" s="258"/>
      <c r="O83" s="258"/>
    </row>
    <row r="84" spans="1:15" ht="14.15" customHeight="1" x14ac:dyDescent="0.3">
      <c r="A84" s="341"/>
      <c r="B84" s="373" t="s">
        <v>164</v>
      </c>
      <c r="C84" s="96" t="s">
        <v>108</v>
      </c>
      <c r="D84" s="1">
        <v>0</v>
      </c>
      <c r="E84" s="36">
        <v>70.599999999999994</v>
      </c>
      <c r="F84" s="41">
        <v>0.2</v>
      </c>
      <c r="G84" s="348">
        <f>E84/(1-F84)</f>
        <v>88.249999999999986</v>
      </c>
      <c r="H84" s="348">
        <v>50</v>
      </c>
      <c r="I84" s="83">
        <v>0.15</v>
      </c>
      <c r="J84" s="79">
        <f>H84*(1+I84)</f>
        <v>57.499999999999993</v>
      </c>
      <c r="K84" s="349">
        <f>J84*D84</f>
        <v>0</v>
      </c>
      <c r="L84" s="350">
        <f>G84+J84</f>
        <v>145.74999999999997</v>
      </c>
      <c r="M84" s="351">
        <f>D84*L84</f>
        <v>0</v>
      </c>
      <c r="N84" s="258"/>
      <c r="O84" s="258"/>
    </row>
    <row r="85" spans="1:15" ht="14.5" customHeight="1" thickBot="1" x14ac:dyDescent="0.35">
      <c r="A85" s="381"/>
      <c r="B85" s="375" t="s">
        <v>165</v>
      </c>
      <c r="C85" s="99" t="s">
        <v>108</v>
      </c>
      <c r="D85" s="50">
        <v>0</v>
      </c>
      <c r="E85" s="51">
        <v>22.91</v>
      </c>
      <c r="F85" s="52">
        <v>0.2</v>
      </c>
      <c r="G85" s="376">
        <f>E85/(1-F85)</f>
        <v>28.637499999999999</v>
      </c>
      <c r="H85" s="376">
        <v>50</v>
      </c>
      <c r="I85" s="83">
        <v>0.15</v>
      </c>
      <c r="J85" s="79">
        <f>H85*(1+I85)</f>
        <v>57.499999999999993</v>
      </c>
      <c r="K85" s="349">
        <f>J85*D85</f>
        <v>0</v>
      </c>
      <c r="L85" s="350">
        <f>G85+J85</f>
        <v>86.137499999999989</v>
      </c>
      <c r="M85" s="378">
        <f>D85*L85</f>
        <v>0</v>
      </c>
      <c r="N85" s="258"/>
      <c r="O85" s="258"/>
    </row>
    <row r="86" spans="1:15" ht="14.5" customHeight="1" thickBot="1" x14ac:dyDescent="0.35">
      <c r="A86" s="397"/>
      <c r="B86" s="398"/>
      <c r="C86" s="97"/>
      <c r="D86" s="72"/>
      <c r="E86" s="73"/>
      <c r="F86" s="74"/>
      <c r="G86" s="356"/>
      <c r="H86" s="356"/>
      <c r="I86" s="73"/>
      <c r="J86" s="73"/>
      <c r="K86" s="357"/>
      <c r="L86" s="358"/>
      <c r="M86" s="358"/>
      <c r="N86" s="258"/>
      <c r="O86" s="258"/>
    </row>
    <row r="87" spans="1:15" ht="14.15" customHeight="1" x14ac:dyDescent="0.3">
      <c r="A87" s="359">
        <v>2.13</v>
      </c>
      <c r="B87" s="399"/>
      <c r="C87" s="100"/>
      <c r="D87" s="58" t="s">
        <v>166</v>
      </c>
      <c r="E87" s="56"/>
      <c r="F87" s="57"/>
      <c r="G87" s="361"/>
      <c r="H87" s="361"/>
      <c r="I87" s="56"/>
      <c r="J87" s="56"/>
      <c r="K87" s="362"/>
      <c r="L87" s="363"/>
      <c r="M87" s="363"/>
      <c r="N87" s="258"/>
      <c r="O87" s="258"/>
    </row>
    <row r="88" spans="1:15" ht="14.15" customHeight="1" x14ac:dyDescent="0.3">
      <c r="A88" s="341"/>
      <c r="B88" s="368"/>
      <c r="C88" s="96"/>
      <c r="D88" s="1"/>
      <c r="E88" s="36"/>
      <c r="F88" s="41"/>
      <c r="G88" s="348"/>
      <c r="H88" s="348"/>
      <c r="I88" s="79"/>
      <c r="J88" s="79"/>
      <c r="K88" s="349"/>
      <c r="L88" s="350"/>
      <c r="M88" s="351"/>
      <c r="N88" s="258"/>
      <c r="O88" s="258"/>
    </row>
    <row r="89" spans="1:15" ht="14.15" customHeight="1" x14ac:dyDescent="0.3">
      <c r="A89" s="341" t="s">
        <v>167</v>
      </c>
      <c r="B89" s="373" t="s">
        <v>168</v>
      </c>
      <c r="C89" s="96" t="s">
        <v>108</v>
      </c>
      <c r="D89" s="1">
        <v>0</v>
      </c>
      <c r="E89" s="36">
        <v>25</v>
      </c>
      <c r="F89" s="41">
        <v>0.2</v>
      </c>
      <c r="G89" s="348">
        <f>E89/(1-F89)</f>
        <v>31.25</v>
      </c>
      <c r="H89" s="348"/>
      <c r="I89" s="83">
        <v>0.15</v>
      </c>
      <c r="J89" s="79">
        <f>H89*(1+I89)</f>
        <v>0</v>
      </c>
      <c r="K89" s="349">
        <f>J89*D89</f>
        <v>0</v>
      </c>
      <c r="L89" s="350">
        <f>G89+J89</f>
        <v>31.25</v>
      </c>
      <c r="M89" s="351">
        <f>D89*L89</f>
        <v>0</v>
      </c>
      <c r="N89" s="258"/>
      <c r="O89" s="258"/>
    </row>
    <row r="90" spans="1:15" ht="14.15" customHeight="1" x14ac:dyDescent="0.3">
      <c r="A90" s="341" t="s">
        <v>169</v>
      </c>
      <c r="B90" s="373" t="s">
        <v>170</v>
      </c>
      <c r="C90" s="96" t="s">
        <v>108</v>
      </c>
      <c r="D90" s="1">
        <v>0</v>
      </c>
      <c r="E90" s="36">
        <v>33</v>
      </c>
      <c r="F90" s="41">
        <v>0.2</v>
      </c>
      <c r="G90" s="348">
        <f>E90/(1-F90)</f>
        <v>41.25</v>
      </c>
      <c r="H90" s="348"/>
      <c r="I90" s="83">
        <v>0.15</v>
      </c>
      <c r="J90" s="79">
        <f>H90*(1+I90)</f>
        <v>0</v>
      </c>
      <c r="K90" s="349">
        <f>J90*D90</f>
        <v>0</v>
      </c>
      <c r="L90" s="350">
        <f>G90+J90</f>
        <v>41.25</v>
      </c>
      <c r="M90" s="351">
        <f>D90*L90</f>
        <v>0</v>
      </c>
      <c r="N90" s="258"/>
      <c r="O90" s="258"/>
    </row>
    <row r="91" spans="1:15" ht="14.5" customHeight="1" thickBot="1" x14ac:dyDescent="0.35">
      <c r="A91" s="341" t="s">
        <v>171</v>
      </c>
      <c r="B91" s="401" t="s">
        <v>172</v>
      </c>
      <c r="C91" s="96" t="s">
        <v>108</v>
      </c>
      <c r="D91" s="1">
        <v>0</v>
      </c>
      <c r="E91" s="36">
        <v>37</v>
      </c>
      <c r="F91" s="41">
        <v>0.2</v>
      </c>
      <c r="G91" s="348">
        <f>E91/(1-F91)</f>
        <v>46.25</v>
      </c>
      <c r="H91" s="348"/>
      <c r="I91" s="83">
        <v>0.15</v>
      </c>
      <c r="J91" s="79">
        <f>H91*(1+I91)</f>
        <v>0</v>
      </c>
      <c r="K91" s="349">
        <f>J91*D91</f>
        <v>0</v>
      </c>
      <c r="L91" s="350">
        <f>G91+J91</f>
        <v>46.25</v>
      </c>
      <c r="M91" s="351">
        <f>D91*L91</f>
        <v>0</v>
      </c>
      <c r="N91" s="258"/>
      <c r="O91" s="258"/>
    </row>
    <row r="92" spans="1:15" ht="14.5" customHeight="1" thickBot="1" x14ac:dyDescent="0.35">
      <c r="A92" s="397"/>
      <c r="B92" s="398"/>
      <c r="C92" s="97"/>
      <c r="D92" s="72"/>
      <c r="E92" s="73"/>
      <c r="F92" s="74"/>
      <c r="G92" s="356"/>
      <c r="H92" s="356"/>
      <c r="I92" s="73"/>
      <c r="J92" s="73"/>
      <c r="K92" s="357"/>
      <c r="L92" s="358"/>
      <c r="M92" s="358"/>
      <c r="N92" s="258"/>
      <c r="O92" s="258"/>
    </row>
    <row r="93" spans="1:15" s="297" customFormat="1" ht="14.15" customHeight="1" x14ac:dyDescent="0.3">
      <c r="A93" s="402">
        <v>2.14</v>
      </c>
      <c r="B93" s="403"/>
      <c r="C93" s="98"/>
      <c r="D93" s="65" t="s">
        <v>173</v>
      </c>
      <c r="E93" s="53"/>
      <c r="F93" s="54"/>
      <c r="G93" s="391"/>
      <c r="H93" s="391"/>
      <c r="I93" s="53"/>
      <c r="J93" s="53"/>
      <c r="K93" s="392"/>
      <c r="L93" s="393"/>
      <c r="M93" s="393"/>
      <c r="N93" s="258"/>
      <c r="O93" s="258"/>
    </row>
    <row r="94" spans="1:15" s="297" customFormat="1" ht="14.15" customHeight="1" x14ac:dyDescent="0.3">
      <c r="A94" s="341"/>
      <c r="B94" s="368"/>
      <c r="C94" s="96"/>
      <c r="D94" s="1"/>
      <c r="E94" s="36"/>
      <c r="F94" s="41"/>
      <c r="G94" s="348"/>
      <c r="H94" s="348"/>
      <c r="I94" s="79"/>
      <c r="J94" s="79"/>
      <c r="K94" s="349"/>
      <c r="L94" s="350"/>
      <c r="M94" s="351"/>
      <c r="N94" s="258"/>
      <c r="O94" s="258"/>
    </row>
    <row r="95" spans="1:15" s="297" customFormat="1" ht="28" customHeight="1" x14ac:dyDescent="0.3">
      <c r="A95" s="341"/>
      <c r="B95" s="373" t="s">
        <v>174</v>
      </c>
      <c r="C95" s="96"/>
      <c r="D95" s="1"/>
      <c r="E95" s="36"/>
      <c r="F95" s="41"/>
      <c r="G95" s="348"/>
      <c r="H95" s="348"/>
      <c r="I95" s="79"/>
      <c r="J95" s="79"/>
      <c r="K95" s="349"/>
      <c r="L95" s="350"/>
      <c r="M95" s="351"/>
      <c r="N95" s="258"/>
      <c r="O95" s="258"/>
    </row>
    <row r="96" spans="1:15" s="297" customFormat="1" ht="14.15" customHeight="1" x14ac:dyDescent="0.3">
      <c r="A96" s="384"/>
      <c r="B96" s="373"/>
      <c r="C96" s="96"/>
      <c r="D96" s="1"/>
      <c r="E96" s="36"/>
      <c r="F96" s="41"/>
      <c r="G96" s="348"/>
      <c r="H96" s="348"/>
      <c r="I96" s="79"/>
      <c r="J96" s="79"/>
      <c r="K96" s="349"/>
      <c r="L96" s="350"/>
      <c r="M96" s="351"/>
      <c r="N96" s="258"/>
      <c r="O96" s="258"/>
    </row>
    <row r="97" spans="1:15" s="297" customFormat="1" ht="14.15" customHeight="1" x14ac:dyDescent="0.3">
      <c r="A97" s="341" t="s">
        <v>175</v>
      </c>
      <c r="B97" s="373" t="s">
        <v>150</v>
      </c>
      <c r="C97" s="96" t="s">
        <v>85</v>
      </c>
      <c r="D97" s="1">
        <v>6</v>
      </c>
      <c r="E97" s="36">
        <f>752.54*1.1</f>
        <v>827.79399999999998</v>
      </c>
      <c r="F97" s="41">
        <v>0.2</v>
      </c>
      <c r="G97" s="348">
        <f t="shared" ref="G97:G107" si="5">E97/(1-F97)</f>
        <v>1034.7424999999998</v>
      </c>
      <c r="H97" s="348">
        <f>(250+100)*1.5</f>
        <v>525</v>
      </c>
      <c r="I97" s="83">
        <v>0.15</v>
      </c>
      <c r="J97" s="79">
        <f t="shared" ref="J97:J107" si="6">H97*(1+I97)</f>
        <v>603.75</v>
      </c>
      <c r="K97" s="349">
        <f t="shared" ref="K97:K107" si="7">J97*D97</f>
        <v>3622.5</v>
      </c>
      <c r="L97" s="350">
        <f t="shared" ref="L97:L107" si="8">G97+J97</f>
        <v>1638.4924999999998</v>
      </c>
      <c r="M97" s="351">
        <f t="shared" ref="M97:M107" si="9">D97*L97</f>
        <v>9830.9549999999981</v>
      </c>
      <c r="N97" s="258"/>
      <c r="O97" s="258"/>
    </row>
    <row r="98" spans="1:15" s="297" customFormat="1" ht="14.15" customHeight="1" x14ac:dyDescent="0.3">
      <c r="A98" s="341" t="s">
        <v>176</v>
      </c>
      <c r="B98" s="373" t="s">
        <v>177</v>
      </c>
      <c r="C98" s="96" t="s">
        <v>85</v>
      </c>
      <c r="D98" s="1">
        <v>0</v>
      </c>
      <c r="E98" s="36">
        <f>350*1.1</f>
        <v>385.00000000000006</v>
      </c>
      <c r="F98" s="41">
        <v>0.2</v>
      </c>
      <c r="G98" s="348">
        <f t="shared" si="5"/>
        <v>481.25000000000006</v>
      </c>
      <c r="H98" s="348">
        <f>(250+100)*1.5</f>
        <v>525</v>
      </c>
      <c r="I98" s="83">
        <v>0.15</v>
      </c>
      <c r="J98" s="79">
        <f t="shared" si="6"/>
        <v>603.75</v>
      </c>
      <c r="K98" s="349">
        <f t="shared" si="7"/>
        <v>0</v>
      </c>
      <c r="L98" s="350">
        <f t="shared" si="8"/>
        <v>1085</v>
      </c>
      <c r="M98" s="351">
        <f t="shared" si="9"/>
        <v>0</v>
      </c>
      <c r="N98" s="258"/>
      <c r="O98" s="258"/>
    </row>
    <row r="99" spans="1:15" s="297" customFormat="1" ht="14.15" customHeight="1" x14ac:dyDescent="0.3">
      <c r="A99" s="341" t="s">
        <v>178</v>
      </c>
      <c r="B99" s="373" t="s">
        <v>152</v>
      </c>
      <c r="C99" s="96" t="s">
        <v>85</v>
      </c>
      <c r="D99" s="1">
        <v>0</v>
      </c>
      <c r="E99" s="36">
        <v>550</v>
      </c>
      <c r="F99" s="41">
        <v>0.2</v>
      </c>
      <c r="G99" s="348">
        <f t="shared" si="5"/>
        <v>687.5</v>
      </c>
      <c r="H99" s="348">
        <f>(250+100)*1.5</f>
        <v>525</v>
      </c>
      <c r="I99" s="83">
        <v>0.15</v>
      </c>
      <c r="J99" s="79">
        <f t="shared" si="6"/>
        <v>603.75</v>
      </c>
      <c r="K99" s="349">
        <f t="shared" si="7"/>
        <v>0</v>
      </c>
      <c r="L99" s="350">
        <f t="shared" si="8"/>
        <v>1291.25</v>
      </c>
      <c r="M99" s="351">
        <f t="shared" si="9"/>
        <v>0</v>
      </c>
      <c r="N99" s="258"/>
      <c r="O99" s="258"/>
    </row>
    <row r="100" spans="1:15" s="297" customFormat="1" ht="14.15" customHeight="1" x14ac:dyDescent="0.3">
      <c r="A100" s="341" t="s">
        <v>179</v>
      </c>
      <c r="B100" s="373" t="s">
        <v>154</v>
      </c>
      <c r="C100" s="96" t="s">
        <v>85</v>
      </c>
      <c r="D100" s="1">
        <v>0</v>
      </c>
      <c r="E100" s="36">
        <v>350</v>
      </c>
      <c r="F100" s="41">
        <v>0.2</v>
      </c>
      <c r="G100" s="348">
        <f t="shared" si="5"/>
        <v>437.5</v>
      </c>
      <c r="H100" s="348">
        <v>525</v>
      </c>
      <c r="I100" s="83">
        <v>0.15</v>
      </c>
      <c r="J100" s="79">
        <f t="shared" si="6"/>
        <v>603.75</v>
      </c>
      <c r="K100" s="349">
        <f t="shared" si="7"/>
        <v>0</v>
      </c>
      <c r="L100" s="350">
        <f t="shared" si="8"/>
        <v>1041.25</v>
      </c>
      <c r="M100" s="351">
        <f t="shared" si="9"/>
        <v>0</v>
      </c>
      <c r="N100" s="258"/>
      <c r="O100" s="258"/>
    </row>
    <row r="101" spans="1:15" s="297" customFormat="1" ht="14.5" customHeight="1" x14ac:dyDescent="0.3">
      <c r="A101" s="341" t="s">
        <v>180</v>
      </c>
      <c r="B101" s="373" t="s">
        <v>156</v>
      </c>
      <c r="C101" s="96" t="s">
        <v>85</v>
      </c>
      <c r="D101" s="1">
        <v>0</v>
      </c>
      <c r="E101" s="36"/>
      <c r="F101" s="41"/>
      <c r="G101" s="348">
        <f t="shared" si="5"/>
        <v>0</v>
      </c>
      <c r="H101" s="348">
        <v>525</v>
      </c>
      <c r="I101" s="83">
        <v>0.15</v>
      </c>
      <c r="J101" s="79">
        <f t="shared" si="6"/>
        <v>603.75</v>
      </c>
      <c r="K101" s="349">
        <f t="shared" si="7"/>
        <v>0</v>
      </c>
      <c r="L101" s="350">
        <f t="shared" si="8"/>
        <v>603.75</v>
      </c>
      <c r="M101" s="351">
        <f t="shared" si="9"/>
        <v>0</v>
      </c>
      <c r="N101" s="258"/>
      <c r="O101" s="258"/>
    </row>
    <row r="102" spans="1:15" s="297" customFormat="1" ht="14.15" customHeight="1" x14ac:dyDescent="0.3">
      <c r="A102" s="341" t="s">
        <v>181</v>
      </c>
      <c r="B102" s="373" t="s">
        <v>158</v>
      </c>
      <c r="C102" s="96" t="s">
        <v>85</v>
      </c>
      <c r="D102" s="1">
        <v>0</v>
      </c>
      <c r="E102" s="36">
        <v>350</v>
      </c>
      <c r="F102" s="41">
        <v>0.2</v>
      </c>
      <c r="G102" s="348">
        <f t="shared" si="5"/>
        <v>437.5</v>
      </c>
      <c r="H102" s="348">
        <v>525</v>
      </c>
      <c r="I102" s="83">
        <v>0.15</v>
      </c>
      <c r="J102" s="79">
        <f t="shared" si="6"/>
        <v>603.75</v>
      </c>
      <c r="K102" s="349">
        <f t="shared" si="7"/>
        <v>0</v>
      </c>
      <c r="L102" s="350">
        <f t="shared" si="8"/>
        <v>1041.25</v>
      </c>
      <c r="M102" s="351">
        <f t="shared" si="9"/>
        <v>0</v>
      </c>
      <c r="N102" s="258"/>
      <c r="O102" s="258"/>
    </row>
    <row r="103" spans="1:15" s="297" customFormat="1" ht="14.15" customHeight="1" x14ac:dyDescent="0.3">
      <c r="A103" s="341" t="s">
        <v>182</v>
      </c>
      <c r="B103" s="373" t="s">
        <v>160</v>
      </c>
      <c r="C103" s="96" t="s">
        <v>85</v>
      </c>
      <c r="D103" s="1">
        <v>0</v>
      </c>
      <c r="E103" s="36">
        <v>350</v>
      </c>
      <c r="F103" s="41">
        <v>0.2</v>
      </c>
      <c r="G103" s="348">
        <f t="shared" si="5"/>
        <v>437.5</v>
      </c>
      <c r="H103" s="348">
        <v>525</v>
      </c>
      <c r="I103" s="83">
        <v>0.15</v>
      </c>
      <c r="J103" s="79">
        <f t="shared" si="6"/>
        <v>603.75</v>
      </c>
      <c r="K103" s="349">
        <f t="shared" si="7"/>
        <v>0</v>
      </c>
      <c r="L103" s="350">
        <f t="shared" si="8"/>
        <v>1041.25</v>
      </c>
      <c r="M103" s="351">
        <f t="shared" si="9"/>
        <v>0</v>
      </c>
      <c r="N103" s="258"/>
      <c r="O103" s="258"/>
    </row>
    <row r="104" spans="1:15" s="297" customFormat="1" ht="14.15" customHeight="1" x14ac:dyDescent="0.3">
      <c r="A104" s="341" t="s">
        <v>183</v>
      </c>
      <c r="B104" s="373" t="s">
        <v>184</v>
      </c>
      <c r="C104" s="96" t="s">
        <v>85</v>
      </c>
      <c r="D104" s="1">
        <v>4</v>
      </c>
      <c r="E104" s="36">
        <v>350</v>
      </c>
      <c r="F104" s="41">
        <v>0.2</v>
      </c>
      <c r="G104" s="348">
        <f t="shared" si="5"/>
        <v>437.5</v>
      </c>
      <c r="H104" s="348">
        <v>525</v>
      </c>
      <c r="I104" s="83">
        <v>0.15</v>
      </c>
      <c r="J104" s="79">
        <f t="shared" si="6"/>
        <v>603.75</v>
      </c>
      <c r="K104" s="349">
        <f t="shared" si="7"/>
        <v>2415</v>
      </c>
      <c r="L104" s="350">
        <f t="shared" si="8"/>
        <v>1041.25</v>
      </c>
      <c r="M104" s="351">
        <f t="shared" si="9"/>
        <v>4165</v>
      </c>
      <c r="N104" s="258"/>
      <c r="O104" s="258"/>
    </row>
    <row r="105" spans="1:15" s="297" customFormat="1" ht="14.15" customHeight="1" x14ac:dyDescent="0.3">
      <c r="A105" s="341" t="s">
        <v>185</v>
      </c>
      <c r="B105" s="373" t="s">
        <v>186</v>
      </c>
      <c r="C105" s="96" t="s">
        <v>85</v>
      </c>
      <c r="D105" s="1">
        <v>0</v>
      </c>
      <c r="E105" s="36">
        <v>250</v>
      </c>
      <c r="F105" s="41">
        <v>0.2</v>
      </c>
      <c r="G105" s="348">
        <f t="shared" si="5"/>
        <v>312.5</v>
      </c>
      <c r="H105" s="348">
        <v>525</v>
      </c>
      <c r="I105" s="83">
        <v>0.15</v>
      </c>
      <c r="J105" s="79">
        <f t="shared" si="6"/>
        <v>603.75</v>
      </c>
      <c r="K105" s="349">
        <f t="shared" si="7"/>
        <v>0</v>
      </c>
      <c r="L105" s="350">
        <f t="shared" si="8"/>
        <v>916.25</v>
      </c>
      <c r="M105" s="351">
        <f t="shared" si="9"/>
        <v>0</v>
      </c>
      <c r="N105" s="258"/>
      <c r="O105" s="258"/>
    </row>
    <row r="106" spans="1:15" s="297" customFormat="1" ht="14.15" customHeight="1" x14ac:dyDescent="0.3">
      <c r="A106" s="341" t="s">
        <v>187</v>
      </c>
      <c r="B106" s="373" t="s">
        <v>188</v>
      </c>
      <c r="C106" s="96" t="s">
        <v>85</v>
      </c>
      <c r="D106" s="1">
        <v>0</v>
      </c>
      <c r="E106" s="36">
        <v>500</v>
      </c>
      <c r="F106" s="41">
        <v>0.2</v>
      </c>
      <c r="G106" s="348">
        <f t="shared" si="5"/>
        <v>625</v>
      </c>
      <c r="H106" s="348">
        <v>525</v>
      </c>
      <c r="I106" s="83">
        <v>0.15</v>
      </c>
      <c r="J106" s="79">
        <f t="shared" si="6"/>
        <v>603.75</v>
      </c>
      <c r="K106" s="349">
        <f t="shared" si="7"/>
        <v>0</v>
      </c>
      <c r="L106" s="350">
        <f t="shared" si="8"/>
        <v>1228.75</v>
      </c>
      <c r="M106" s="351">
        <f t="shared" si="9"/>
        <v>0</v>
      </c>
      <c r="N106" s="258"/>
      <c r="O106" s="258"/>
    </row>
    <row r="107" spans="1:15" s="297" customFormat="1" ht="14.5" customHeight="1" thickBot="1" x14ac:dyDescent="0.35">
      <c r="A107" s="381" t="s">
        <v>189</v>
      </c>
      <c r="B107" s="375" t="s">
        <v>190</v>
      </c>
      <c r="C107" s="99" t="s">
        <v>85</v>
      </c>
      <c r="D107" s="50">
        <v>0</v>
      </c>
      <c r="E107" s="51">
        <v>500</v>
      </c>
      <c r="F107" s="52">
        <v>0.2</v>
      </c>
      <c r="G107" s="376">
        <f t="shared" si="5"/>
        <v>625</v>
      </c>
      <c r="H107" s="376">
        <v>525</v>
      </c>
      <c r="I107" s="84">
        <v>0.15</v>
      </c>
      <c r="J107" s="80">
        <f t="shared" si="6"/>
        <v>603.75</v>
      </c>
      <c r="K107" s="382">
        <f t="shared" si="7"/>
        <v>0</v>
      </c>
      <c r="L107" s="350">
        <f t="shared" si="8"/>
        <v>1228.75</v>
      </c>
      <c r="M107" s="378">
        <f t="shared" si="9"/>
        <v>0</v>
      </c>
      <c r="N107" s="258"/>
      <c r="O107" s="258"/>
    </row>
    <row r="108" spans="1:15" s="297" customFormat="1" ht="14.5" customHeight="1" thickBot="1" x14ac:dyDescent="0.35">
      <c r="A108" s="404"/>
      <c r="B108" s="405"/>
      <c r="C108" s="96"/>
      <c r="D108" s="1"/>
      <c r="E108" s="36"/>
      <c r="F108" s="41"/>
      <c r="G108" s="348"/>
      <c r="H108" s="348"/>
      <c r="I108" s="79"/>
      <c r="J108" s="79"/>
      <c r="K108" s="406"/>
      <c r="L108" s="350"/>
      <c r="M108" s="351"/>
      <c r="N108" s="258"/>
      <c r="O108" s="258"/>
    </row>
    <row r="109" spans="1:15" ht="14.15" customHeight="1" x14ac:dyDescent="0.3">
      <c r="A109" s="359">
        <v>2.15</v>
      </c>
      <c r="B109" s="399"/>
      <c r="C109" s="100"/>
      <c r="D109" s="58" t="s">
        <v>191</v>
      </c>
      <c r="E109" s="56"/>
      <c r="F109" s="57"/>
      <c r="G109" s="361"/>
      <c r="H109" s="361"/>
      <c r="I109" s="56"/>
      <c r="J109" s="56"/>
      <c r="K109" s="362"/>
      <c r="L109" s="363"/>
      <c r="M109" s="363"/>
      <c r="N109" s="258"/>
      <c r="O109" s="258"/>
    </row>
    <row r="110" spans="1:15" ht="14.15" customHeight="1" x14ac:dyDescent="0.3">
      <c r="A110" s="341"/>
      <c r="B110" s="368"/>
      <c r="C110" s="96"/>
      <c r="D110" s="1"/>
      <c r="E110" s="36"/>
      <c r="F110" s="41"/>
      <c r="G110" s="348"/>
      <c r="H110" s="348"/>
      <c r="I110" s="79"/>
      <c r="J110" s="79"/>
      <c r="K110" s="349"/>
      <c r="L110" s="350"/>
      <c r="M110" s="351"/>
      <c r="N110" s="258"/>
      <c r="O110" s="258"/>
    </row>
    <row r="111" spans="1:15" ht="28" customHeight="1" x14ac:dyDescent="0.3">
      <c r="A111" s="341"/>
      <c r="B111" s="373" t="s">
        <v>192</v>
      </c>
      <c r="C111" s="96"/>
      <c r="D111" s="1"/>
      <c r="E111" s="36"/>
      <c r="F111" s="41"/>
      <c r="G111" s="348"/>
      <c r="H111" s="348"/>
      <c r="I111" s="79"/>
      <c r="J111" s="79"/>
      <c r="K111" s="349"/>
      <c r="L111" s="350"/>
      <c r="M111" s="351"/>
      <c r="N111" s="258"/>
      <c r="O111" s="258"/>
    </row>
    <row r="112" spans="1:15" ht="14.15" customHeight="1" x14ac:dyDescent="0.3">
      <c r="A112" s="384"/>
      <c r="B112" s="373"/>
      <c r="C112" s="96"/>
      <c r="D112" s="1"/>
      <c r="E112" s="36"/>
      <c r="F112" s="41"/>
      <c r="G112" s="348"/>
      <c r="H112" s="348"/>
      <c r="I112" s="79"/>
      <c r="J112" s="79"/>
      <c r="K112" s="349"/>
      <c r="L112" s="350"/>
      <c r="M112" s="351"/>
      <c r="N112" s="258"/>
      <c r="O112" s="258"/>
    </row>
    <row r="113" spans="1:15" ht="14.15" customHeight="1" x14ac:dyDescent="0.3">
      <c r="A113" s="341" t="s">
        <v>193</v>
      </c>
      <c r="B113" s="373" t="s">
        <v>194</v>
      </c>
      <c r="C113" s="96" t="s">
        <v>108</v>
      </c>
      <c r="D113" s="1">
        <v>0</v>
      </c>
      <c r="E113" s="36">
        <f>132*(15+10+10)</f>
        <v>4620</v>
      </c>
      <c r="F113" s="41">
        <v>0.2</v>
      </c>
      <c r="G113" s="348">
        <f>E113/(1-F113)</f>
        <v>5775</v>
      </c>
      <c r="H113" s="348">
        <f>9*(15+10+10)</f>
        <v>315</v>
      </c>
      <c r="I113" s="83">
        <v>0.15</v>
      </c>
      <c r="J113" s="79">
        <f>H113*(1+I113)</f>
        <v>362.25</v>
      </c>
      <c r="K113" s="349">
        <f>J113*D113</f>
        <v>0</v>
      </c>
      <c r="L113" s="350">
        <f>G113+J113</f>
        <v>6137.25</v>
      </c>
      <c r="M113" s="351">
        <f>D113*L113</f>
        <v>0</v>
      </c>
      <c r="N113" s="258"/>
      <c r="O113" s="258"/>
    </row>
    <row r="114" spans="1:15" ht="14.5" customHeight="1" thickBot="1" x14ac:dyDescent="0.35">
      <c r="A114" s="381" t="s">
        <v>195</v>
      </c>
      <c r="B114" s="375" t="s">
        <v>196</v>
      </c>
      <c r="C114" s="99" t="s">
        <v>108</v>
      </c>
      <c r="D114" s="50">
        <v>18</v>
      </c>
      <c r="E114" s="51">
        <f>30</f>
        <v>30</v>
      </c>
      <c r="F114" s="52">
        <v>0.2</v>
      </c>
      <c r="G114" s="376">
        <f>E114/(1-F114)</f>
        <v>37.5</v>
      </c>
      <c r="H114" s="376">
        <f>15</f>
        <v>15</v>
      </c>
      <c r="I114" s="84">
        <v>0.15</v>
      </c>
      <c r="J114" s="80">
        <f>H114*(1+I114)</f>
        <v>17.25</v>
      </c>
      <c r="K114" s="382">
        <f>J114*D114</f>
        <v>310.5</v>
      </c>
      <c r="L114" s="407">
        <f>G114+J114</f>
        <v>54.75</v>
      </c>
      <c r="M114" s="378">
        <f>D114*L114</f>
        <v>985.5</v>
      </c>
      <c r="N114" s="258"/>
      <c r="O114" s="258"/>
    </row>
    <row r="115" spans="1:15" ht="14.5" customHeight="1" thickBot="1" x14ac:dyDescent="0.35">
      <c r="A115" s="258"/>
      <c r="B115" s="405"/>
      <c r="C115" s="96"/>
      <c r="D115" s="1"/>
      <c r="E115" s="36"/>
      <c r="F115" s="41"/>
      <c r="G115" s="348"/>
      <c r="H115" s="348"/>
      <c r="I115" s="79"/>
      <c r="J115" s="79"/>
      <c r="K115" s="406"/>
      <c r="L115" s="350"/>
      <c r="M115" s="351"/>
      <c r="N115" s="258"/>
      <c r="O115" s="258"/>
    </row>
    <row r="116" spans="1:15" ht="14.15" customHeight="1" x14ac:dyDescent="0.3">
      <c r="A116" s="359">
        <v>2.16</v>
      </c>
      <c r="B116" s="399"/>
      <c r="C116" s="100"/>
      <c r="D116" s="58" t="s">
        <v>197</v>
      </c>
      <c r="E116" s="56"/>
      <c r="F116" s="57"/>
      <c r="G116" s="361"/>
      <c r="H116" s="361"/>
      <c r="I116" s="56"/>
      <c r="J116" s="56"/>
      <c r="K116" s="362"/>
      <c r="L116" s="363"/>
      <c r="M116" s="363"/>
      <c r="N116" s="258"/>
      <c r="O116" s="258"/>
    </row>
    <row r="117" spans="1:15" ht="14.15" customHeight="1" x14ac:dyDescent="0.3">
      <c r="A117" s="341"/>
      <c r="B117" s="368"/>
      <c r="C117" s="96"/>
      <c r="D117" s="1"/>
      <c r="E117" s="36"/>
      <c r="F117" s="41"/>
      <c r="G117" s="348"/>
      <c r="H117" s="348"/>
      <c r="I117" s="79"/>
      <c r="J117" s="79"/>
      <c r="K117" s="349"/>
      <c r="L117" s="350"/>
      <c r="M117" s="351"/>
      <c r="N117" s="258"/>
      <c r="O117" s="258"/>
    </row>
    <row r="118" spans="1:15" ht="28.5" customHeight="1" thickBot="1" x14ac:dyDescent="0.35">
      <c r="A118" s="381" t="s">
        <v>198</v>
      </c>
      <c r="B118" s="375" t="s">
        <v>199</v>
      </c>
      <c r="C118" s="95" t="s">
        <v>108</v>
      </c>
      <c r="D118" s="50">
        <v>10</v>
      </c>
      <c r="E118" s="51">
        <v>5</v>
      </c>
      <c r="F118" s="52">
        <v>0.2</v>
      </c>
      <c r="G118" s="376">
        <f>E118/(1-F118)</f>
        <v>6.25</v>
      </c>
      <c r="H118" s="376">
        <f>(100*3)</f>
        <v>300</v>
      </c>
      <c r="I118" s="84">
        <v>0.15</v>
      </c>
      <c r="J118" s="80">
        <f>H118*(1+I118)</f>
        <v>345</v>
      </c>
      <c r="K118" s="382">
        <f>J118*D118</f>
        <v>3450</v>
      </c>
      <c r="L118" s="407">
        <f>G118+J118</f>
        <v>351.25</v>
      </c>
      <c r="M118" s="378">
        <f>D118*L118</f>
        <v>3512.5</v>
      </c>
      <c r="N118" s="258"/>
      <c r="O118" s="258"/>
    </row>
    <row r="119" spans="1:15" ht="13.4" customHeight="1" thickBot="1" x14ac:dyDescent="0.35">
      <c r="A119" s="404"/>
      <c r="B119" s="405"/>
      <c r="C119" s="96"/>
      <c r="D119" s="1"/>
      <c r="E119" s="36"/>
      <c r="F119" s="41"/>
      <c r="G119" s="348"/>
      <c r="H119" s="348"/>
      <c r="I119" s="79"/>
      <c r="J119" s="79"/>
      <c r="K119" s="406"/>
      <c r="L119" s="350"/>
      <c r="M119" s="351"/>
      <c r="N119" s="258"/>
      <c r="O119" s="258"/>
    </row>
    <row r="120" spans="1:15" ht="14.15" customHeight="1" x14ac:dyDescent="0.3">
      <c r="A120" s="359">
        <v>2.17</v>
      </c>
      <c r="B120" s="399"/>
      <c r="C120" s="100"/>
      <c r="D120" s="58" t="s">
        <v>200</v>
      </c>
      <c r="E120" s="56"/>
      <c r="F120" s="57"/>
      <c r="G120" s="361"/>
      <c r="H120" s="361"/>
      <c r="I120" s="56"/>
      <c r="J120" s="56"/>
      <c r="K120" s="362"/>
      <c r="L120" s="363"/>
      <c r="M120" s="363"/>
      <c r="N120" s="258"/>
      <c r="O120" s="258"/>
    </row>
    <row r="121" spans="1:15" ht="14.15" customHeight="1" x14ac:dyDescent="0.3">
      <c r="A121" s="341"/>
      <c r="B121" s="408"/>
      <c r="C121" s="96"/>
      <c r="D121" s="1"/>
      <c r="E121" s="36"/>
      <c r="F121" s="41"/>
      <c r="G121" s="348"/>
      <c r="H121" s="348"/>
      <c r="I121" s="79"/>
      <c r="J121" s="79"/>
      <c r="K121" s="349"/>
      <c r="L121" s="350"/>
      <c r="M121" s="351"/>
      <c r="N121" s="258"/>
      <c r="O121" s="258"/>
    </row>
    <row r="122" spans="1:15" ht="14.15" customHeight="1" x14ac:dyDescent="0.3">
      <c r="A122" s="341"/>
      <c r="B122" s="373" t="s">
        <v>201</v>
      </c>
      <c r="C122" s="96"/>
      <c r="D122" s="1"/>
      <c r="E122" s="36"/>
      <c r="F122" s="41"/>
      <c r="G122" s="348"/>
      <c r="H122" s="348"/>
      <c r="I122" s="79"/>
      <c r="J122" s="79"/>
      <c r="K122" s="349"/>
      <c r="L122" s="350"/>
      <c r="M122" s="351"/>
      <c r="N122" s="258"/>
      <c r="O122" s="258"/>
    </row>
    <row r="123" spans="1:15" ht="14.15" customHeight="1" x14ac:dyDescent="0.3">
      <c r="A123" s="384"/>
      <c r="B123" s="409"/>
      <c r="C123" s="96"/>
      <c r="D123" s="1"/>
      <c r="E123" s="36"/>
      <c r="F123" s="41"/>
      <c r="G123" s="348"/>
      <c r="H123" s="348"/>
      <c r="I123" s="79"/>
      <c r="J123" s="79"/>
      <c r="K123" s="349"/>
      <c r="L123" s="350"/>
      <c r="M123" s="351"/>
      <c r="N123" s="258"/>
      <c r="O123" s="258"/>
    </row>
    <row r="124" spans="1:15" ht="28" customHeight="1" x14ac:dyDescent="0.3">
      <c r="A124" s="341" t="s">
        <v>202</v>
      </c>
      <c r="B124" s="373" t="s">
        <v>203</v>
      </c>
      <c r="C124" s="94" t="s">
        <v>42</v>
      </c>
      <c r="D124" s="1">
        <v>0</v>
      </c>
      <c r="E124" s="36"/>
      <c r="F124" s="41">
        <v>0.2</v>
      </c>
      <c r="G124" s="348">
        <f>E124/(1-F124)</f>
        <v>0</v>
      </c>
      <c r="H124" s="348">
        <f>140*(20+60+200)</f>
        <v>39200</v>
      </c>
      <c r="I124" s="83">
        <v>0.15</v>
      </c>
      <c r="J124" s="79">
        <f>H124*(1+I124)</f>
        <v>45080</v>
      </c>
      <c r="K124" s="349">
        <f>J124*D124</f>
        <v>0</v>
      </c>
      <c r="L124" s="350">
        <f>G124+J124</f>
        <v>45080</v>
      </c>
      <c r="M124" s="351">
        <f>D124*L124</f>
        <v>0</v>
      </c>
      <c r="N124" s="258"/>
      <c r="O124" s="258"/>
    </row>
    <row r="125" spans="1:15" s="297" customFormat="1" ht="28" customHeight="1" x14ac:dyDescent="0.3">
      <c r="A125" s="341" t="s">
        <v>204</v>
      </c>
      <c r="B125" s="373" t="s">
        <v>205</v>
      </c>
      <c r="C125" s="94" t="s">
        <v>42</v>
      </c>
      <c r="D125" s="1">
        <v>0</v>
      </c>
      <c r="E125" s="36"/>
      <c r="F125" s="41">
        <v>0.2</v>
      </c>
      <c r="G125" s="348">
        <f>E125/(1-F125)</f>
        <v>0</v>
      </c>
      <c r="H125" s="348">
        <f>140*(20+60+200)</f>
        <v>39200</v>
      </c>
      <c r="I125" s="83">
        <v>0.15</v>
      </c>
      <c r="J125" s="79">
        <f>H125*(1+I125)</f>
        <v>45080</v>
      </c>
      <c r="K125" s="349">
        <f>J125*D125</f>
        <v>0</v>
      </c>
      <c r="L125" s="350">
        <f>G125+J125</f>
        <v>45080</v>
      </c>
      <c r="M125" s="351">
        <f>D125*L125</f>
        <v>0</v>
      </c>
      <c r="N125" s="258"/>
      <c r="O125" s="258"/>
    </row>
    <row r="126" spans="1:15" s="297" customFormat="1" ht="14.15" customHeight="1" x14ac:dyDescent="0.3">
      <c r="A126" s="341" t="s">
        <v>206</v>
      </c>
      <c r="B126" s="373" t="s">
        <v>207</v>
      </c>
      <c r="C126" s="94" t="s">
        <v>42</v>
      </c>
      <c r="D126" s="1">
        <v>0</v>
      </c>
      <c r="E126" s="36">
        <f>35*(50+50)</f>
        <v>3500</v>
      </c>
      <c r="F126" s="41">
        <v>0.2</v>
      </c>
      <c r="G126" s="348">
        <f>E126/(1-F126)</f>
        <v>4375</v>
      </c>
      <c r="H126" s="348">
        <f>5*(50+50+50)</f>
        <v>750</v>
      </c>
      <c r="I126" s="83">
        <v>0.15</v>
      </c>
      <c r="J126" s="79">
        <f>H126*(1+I126)</f>
        <v>862.49999999999989</v>
      </c>
      <c r="K126" s="349">
        <f>J126*D126</f>
        <v>0</v>
      </c>
      <c r="L126" s="350">
        <f>G126+J126</f>
        <v>5237.5</v>
      </c>
      <c r="M126" s="351">
        <f>D126*L126</f>
        <v>0</v>
      </c>
      <c r="N126" s="258"/>
      <c r="O126" s="258"/>
    </row>
    <row r="127" spans="1:15" s="297" customFormat="1" ht="14.5" customHeight="1" thickBot="1" x14ac:dyDescent="0.35">
      <c r="A127" s="381" t="s">
        <v>208</v>
      </c>
      <c r="B127" s="375" t="s">
        <v>209</v>
      </c>
      <c r="C127" s="95" t="s">
        <v>42</v>
      </c>
      <c r="D127" s="50">
        <v>0</v>
      </c>
      <c r="E127" s="51">
        <f>4500*3</f>
        <v>13500</v>
      </c>
      <c r="F127" s="52">
        <v>0.2</v>
      </c>
      <c r="G127" s="376">
        <f>E127/(1-F127)</f>
        <v>16875</v>
      </c>
      <c r="H127" s="376">
        <v>5</v>
      </c>
      <c r="I127" s="84">
        <v>0.15</v>
      </c>
      <c r="J127" s="80">
        <f>H127*(1+I127)</f>
        <v>5.75</v>
      </c>
      <c r="K127" s="382">
        <f>J127*D127</f>
        <v>0</v>
      </c>
      <c r="L127" s="407">
        <f>G127+J127</f>
        <v>16880.75</v>
      </c>
      <c r="M127" s="378">
        <f>D127*L127</f>
        <v>0</v>
      </c>
      <c r="N127" s="258"/>
      <c r="O127" s="258"/>
    </row>
    <row r="128" spans="1:15" s="297" customFormat="1" ht="14.5" customHeight="1" thickBot="1" x14ac:dyDescent="0.35">
      <c r="A128" s="404"/>
      <c r="B128" s="410"/>
      <c r="C128" s="28"/>
      <c r="D128" s="1"/>
      <c r="E128" s="36"/>
      <c r="F128" s="41"/>
      <c r="G128" s="348"/>
      <c r="H128" s="348"/>
      <c r="I128" s="79"/>
      <c r="J128" s="79"/>
      <c r="K128" s="406"/>
      <c r="L128" s="350"/>
      <c r="M128" s="351"/>
      <c r="N128" s="258"/>
      <c r="O128" s="258"/>
    </row>
    <row r="129" spans="1:15" s="297" customFormat="1" ht="14.15" customHeight="1" x14ac:dyDescent="0.3">
      <c r="A129" s="359">
        <v>2.1800000000000002</v>
      </c>
      <c r="B129" s="399"/>
      <c r="C129" s="100"/>
      <c r="D129" s="55" t="s">
        <v>210</v>
      </c>
      <c r="E129" s="56"/>
      <c r="F129" s="57"/>
      <c r="G129" s="361"/>
      <c r="H129" s="361"/>
      <c r="I129" s="56"/>
      <c r="J129" s="56"/>
      <c r="K129" s="362"/>
      <c r="L129" s="363"/>
      <c r="M129" s="363"/>
      <c r="N129" s="258"/>
      <c r="O129" s="258"/>
    </row>
    <row r="130" spans="1:15" s="297" customFormat="1" ht="14.15" customHeight="1" x14ac:dyDescent="0.3">
      <c r="A130" s="341"/>
      <c r="B130" s="408"/>
      <c r="C130" s="96"/>
      <c r="D130" s="1"/>
      <c r="E130" s="36"/>
      <c r="F130" s="41"/>
      <c r="G130" s="348"/>
      <c r="H130" s="348"/>
      <c r="I130" s="79"/>
      <c r="J130" s="79"/>
      <c r="K130" s="349"/>
      <c r="L130" s="350"/>
      <c r="M130" s="351"/>
      <c r="N130" s="258"/>
      <c r="O130" s="258"/>
    </row>
    <row r="131" spans="1:15" s="297" customFormat="1" ht="14.15" customHeight="1" x14ac:dyDescent="0.3">
      <c r="A131" s="341" t="s">
        <v>211</v>
      </c>
      <c r="B131" s="373" t="s">
        <v>212</v>
      </c>
      <c r="C131" s="96" t="s">
        <v>42</v>
      </c>
      <c r="D131" s="1">
        <v>0</v>
      </c>
      <c r="E131" s="36">
        <v>0</v>
      </c>
      <c r="F131" s="41">
        <v>0.2</v>
      </c>
      <c r="G131" s="348">
        <f>E131/(1-F131)</f>
        <v>0</v>
      </c>
      <c r="H131" s="348">
        <f>2500*3</f>
        <v>7500</v>
      </c>
      <c r="I131" s="79"/>
      <c r="J131" s="79"/>
      <c r="K131" s="349">
        <f>H131*D131</f>
        <v>0</v>
      </c>
      <c r="L131" s="350">
        <f>G131+J131</f>
        <v>0</v>
      </c>
      <c r="M131" s="351">
        <f>D131*L131</f>
        <v>0</v>
      </c>
      <c r="N131" s="258"/>
      <c r="O131" s="258"/>
    </row>
    <row r="132" spans="1:15" s="297" customFormat="1" ht="14.5" customHeight="1" thickBot="1" x14ac:dyDescent="0.35">
      <c r="A132" s="381"/>
      <c r="B132" s="411"/>
      <c r="C132" s="77"/>
      <c r="D132" s="50"/>
      <c r="E132" s="51"/>
      <c r="F132" s="52"/>
      <c r="G132" s="376"/>
      <c r="H132" s="376"/>
      <c r="I132" s="80"/>
      <c r="J132" s="80"/>
      <c r="K132" s="382">
        <f>H132*D132</f>
        <v>0</v>
      </c>
      <c r="L132" s="412"/>
      <c r="M132" s="378"/>
      <c r="N132" s="258"/>
      <c r="O132" s="258"/>
    </row>
    <row r="133" spans="1:15" s="297" customFormat="1" ht="14.15" customHeight="1" x14ac:dyDescent="0.3">
      <c r="A133" s="369"/>
      <c r="B133" s="413"/>
      <c r="C133" s="28"/>
      <c r="D133" s="1"/>
      <c r="E133" s="36"/>
      <c r="F133" s="41"/>
      <c r="G133" s="348"/>
      <c r="H133" s="348"/>
      <c r="I133" s="36"/>
      <c r="J133" s="36"/>
      <c r="K133" s="414"/>
      <c r="L133" s="350"/>
      <c r="M133" s="351"/>
      <c r="N133" s="258"/>
      <c r="O133" s="258"/>
    </row>
    <row r="134" spans="1:15" s="297" customFormat="1" ht="14.15" customHeight="1" x14ac:dyDescent="0.3">
      <c r="A134" s="404">
        <v>2.19</v>
      </c>
      <c r="B134" s="409" t="s">
        <v>213</v>
      </c>
      <c r="C134" s="96"/>
      <c r="D134" s="1"/>
      <c r="E134" s="36"/>
      <c r="F134" s="41"/>
      <c r="G134" s="348"/>
      <c r="H134" s="348"/>
      <c r="I134" s="36"/>
      <c r="J134" s="36"/>
      <c r="K134" s="415">
        <f>H134*D134</f>
        <v>0</v>
      </c>
      <c r="L134" s="350"/>
      <c r="M134" s="351"/>
      <c r="N134" s="258"/>
      <c r="O134" s="258"/>
    </row>
    <row r="135" spans="1:15" s="297" customFormat="1" ht="14.15" customHeight="1" x14ac:dyDescent="0.3">
      <c r="A135" s="404" t="s">
        <v>214</v>
      </c>
      <c r="B135" s="373" t="s">
        <v>215</v>
      </c>
      <c r="C135" s="96" t="s">
        <v>42</v>
      </c>
      <c r="D135" s="1">
        <v>1</v>
      </c>
      <c r="E135" s="36">
        <v>25000</v>
      </c>
      <c r="F135" s="41">
        <v>0</v>
      </c>
      <c r="G135" s="348">
        <f>E135/(1-F135)</f>
        <v>25000</v>
      </c>
      <c r="H135" s="348">
        <v>0</v>
      </c>
      <c r="I135" s="36"/>
      <c r="J135" s="36"/>
      <c r="K135" s="415">
        <f>H135*D135</f>
        <v>0</v>
      </c>
      <c r="L135" s="350">
        <f>G135+H135</f>
        <v>25000</v>
      </c>
      <c r="M135" s="351">
        <f>D135*L135</f>
        <v>25000</v>
      </c>
      <c r="N135" s="258"/>
      <c r="O135" s="258"/>
    </row>
    <row r="136" spans="1:15" s="297" customFormat="1" ht="14.15" customHeight="1" x14ac:dyDescent="0.3">
      <c r="A136" s="404"/>
      <c r="B136" s="409"/>
      <c r="C136" s="96"/>
      <c r="D136" s="1"/>
      <c r="E136" s="36"/>
      <c r="F136" s="41"/>
      <c r="G136" s="348"/>
      <c r="H136" s="348"/>
      <c r="I136" s="36"/>
      <c r="J136" s="36"/>
      <c r="K136" s="415"/>
      <c r="L136" s="350"/>
      <c r="M136" s="351"/>
      <c r="N136" s="258"/>
      <c r="O136" s="258"/>
    </row>
    <row r="137" spans="1:15" s="297" customFormat="1" ht="14.15" customHeight="1" x14ac:dyDescent="0.3">
      <c r="A137" s="416">
        <v>2.2000000000000002</v>
      </c>
      <c r="B137" s="409" t="s">
        <v>216</v>
      </c>
      <c r="C137" s="96"/>
      <c r="D137" s="1"/>
      <c r="E137" s="36"/>
      <c r="F137" s="41"/>
      <c r="G137" s="348"/>
      <c r="H137" s="348"/>
      <c r="I137" s="36"/>
      <c r="J137" s="36"/>
      <c r="K137" s="415">
        <f>H137*D137</f>
        <v>0</v>
      </c>
      <c r="L137" s="350"/>
      <c r="M137" s="351"/>
      <c r="N137" s="258"/>
      <c r="O137" s="258"/>
    </row>
    <row r="138" spans="1:15" s="297" customFormat="1" ht="14.15" customHeight="1" x14ac:dyDescent="0.3">
      <c r="A138" s="404" t="s">
        <v>217</v>
      </c>
      <c r="B138" s="373" t="s">
        <v>218</v>
      </c>
      <c r="C138" s="96" t="s">
        <v>42</v>
      </c>
      <c r="D138" s="1">
        <v>1</v>
      </c>
      <c r="E138" s="36">
        <f>15000</f>
        <v>15000</v>
      </c>
      <c r="F138" s="41">
        <v>0</v>
      </c>
      <c r="G138" s="348">
        <f>E138/(1-F138)</f>
        <v>15000</v>
      </c>
      <c r="H138" s="348">
        <v>0</v>
      </c>
      <c r="I138" s="36"/>
      <c r="J138" s="36"/>
      <c r="K138" s="415">
        <f>H138*D138</f>
        <v>0</v>
      </c>
      <c r="L138" s="350">
        <f>G138+H138</f>
        <v>15000</v>
      </c>
      <c r="M138" s="351">
        <f>D138*L138</f>
        <v>15000</v>
      </c>
      <c r="N138" s="258"/>
      <c r="O138" s="258"/>
    </row>
    <row r="139" spans="1:15" s="297" customFormat="1" ht="14.15" customHeight="1" x14ac:dyDescent="0.3">
      <c r="A139" s="404"/>
      <c r="B139" s="409"/>
      <c r="C139" s="96"/>
      <c r="D139" s="1"/>
      <c r="E139" s="36"/>
      <c r="F139" s="41"/>
      <c r="G139" s="348"/>
      <c r="H139" s="348"/>
      <c r="I139" s="36"/>
      <c r="J139" s="36"/>
      <c r="K139" s="415"/>
      <c r="L139" s="350"/>
      <c r="M139" s="351"/>
      <c r="N139" s="258"/>
      <c r="O139" s="258"/>
    </row>
    <row r="140" spans="1:15" s="297" customFormat="1" ht="14.15" customHeight="1" x14ac:dyDescent="0.3">
      <c r="A140" s="404">
        <v>2.21</v>
      </c>
      <c r="B140" s="409" t="s">
        <v>219</v>
      </c>
      <c r="C140" s="96"/>
      <c r="D140" s="1"/>
      <c r="E140" s="36"/>
      <c r="F140" s="41"/>
      <c r="G140" s="348"/>
      <c r="H140" s="348"/>
      <c r="I140" s="36"/>
      <c r="J140" s="36"/>
      <c r="K140" s="415">
        <f>H140*D140</f>
        <v>0</v>
      </c>
      <c r="L140" s="350"/>
      <c r="M140" s="351"/>
      <c r="N140" s="258"/>
      <c r="O140" s="258"/>
    </row>
    <row r="141" spans="1:15" ht="14.15" customHeight="1" x14ac:dyDescent="0.3">
      <c r="A141" s="404" t="s">
        <v>220</v>
      </c>
      <c r="B141" s="373" t="s">
        <v>221</v>
      </c>
      <c r="C141" s="96" t="s">
        <v>42</v>
      </c>
      <c r="D141" s="1">
        <v>1</v>
      </c>
      <c r="E141" s="36">
        <f>5000</f>
        <v>5000</v>
      </c>
      <c r="F141" s="41">
        <v>0</v>
      </c>
      <c r="G141" s="348">
        <f>E141/(1-F141)</f>
        <v>5000</v>
      </c>
      <c r="H141" s="348">
        <v>0</v>
      </c>
      <c r="I141" s="36"/>
      <c r="J141" s="36"/>
      <c r="K141" s="415">
        <f>H141*D141</f>
        <v>0</v>
      </c>
      <c r="L141" s="350">
        <f>G141+H141</f>
        <v>5000</v>
      </c>
      <c r="M141" s="351">
        <f>D141*L141</f>
        <v>5000</v>
      </c>
      <c r="N141" s="258"/>
      <c r="O141" s="258"/>
    </row>
    <row r="142" spans="1:15" ht="14.15" customHeight="1" x14ac:dyDescent="0.3">
      <c r="A142" s="404" t="s">
        <v>222</v>
      </c>
      <c r="B142" s="373" t="s">
        <v>223</v>
      </c>
      <c r="C142" s="96" t="s">
        <v>42</v>
      </c>
      <c r="D142" s="1">
        <v>1</v>
      </c>
      <c r="E142" s="36">
        <f>50000</f>
        <v>50000</v>
      </c>
      <c r="F142" s="41">
        <v>0</v>
      </c>
      <c r="G142" s="348">
        <f>E142/(1-F142)</f>
        <v>50000</v>
      </c>
      <c r="H142" s="348">
        <v>0</v>
      </c>
      <c r="I142" s="36"/>
      <c r="J142" s="36"/>
      <c r="K142" s="415">
        <f>H142*D142</f>
        <v>0</v>
      </c>
      <c r="L142" s="350">
        <f>G142+H142</f>
        <v>50000</v>
      </c>
      <c r="M142" s="351">
        <f>D142*L142</f>
        <v>50000</v>
      </c>
      <c r="N142" s="258"/>
      <c r="O142" s="258"/>
    </row>
    <row r="143" spans="1:15" ht="14.15" customHeight="1" x14ac:dyDescent="0.3">
      <c r="A143" s="404"/>
      <c r="B143" s="413"/>
      <c r="C143" s="28"/>
      <c r="D143" s="1"/>
      <c r="E143" s="36"/>
      <c r="F143" s="41"/>
      <c r="G143" s="348"/>
      <c r="H143" s="348"/>
      <c r="I143" s="36"/>
      <c r="J143" s="36"/>
      <c r="K143" s="415"/>
      <c r="L143" s="350"/>
      <c r="M143" s="351"/>
      <c r="N143" s="258"/>
      <c r="O143" s="258"/>
    </row>
    <row r="144" spans="1:15" ht="14.15" customHeight="1" x14ac:dyDescent="0.3">
      <c r="A144" s="404">
        <v>2.2200000000000002</v>
      </c>
      <c r="B144" s="409" t="s">
        <v>224</v>
      </c>
      <c r="C144" s="28"/>
      <c r="D144" s="1"/>
      <c r="E144" s="36"/>
      <c r="F144" s="41"/>
      <c r="G144" s="348"/>
      <c r="H144" s="348"/>
      <c r="I144" s="36"/>
      <c r="J144" s="36"/>
      <c r="K144" s="415">
        <f>H144*D144</f>
        <v>0</v>
      </c>
      <c r="L144" s="350"/>
      <c r="M144" s="351"/>
      <c r="N144" s="258"/>
      <c r="O144" s="258"/>
    </row>
    <row r="145" spans="1:15" ht="14.15" customHeight="1" x14ac:dyDescent="0.3">
      <c r="A145" s="404"/>
      <c r="B145" s="413"/>
      <c r="C145" s="28"/>
      <c r="D145" s="1"/>
      <c r="E145" s="36"/>
      <c r="F145" s="41"/>
      <c r="G145" s="348"/>
      <c r="H145" s="348"/>
      <c r="I145" s="36"/>
      <c r="J145" s="36"/>
      <c r="K145" s="415">
        <f>H145*D145</f>
        <v>0</v>
      </c>
      <c r="L145" s="350"/>
      <c r="M145" s="351"/>
      <c r="N145" s="258"/>
      <c r="O145" s="258"/>
    </row>
    <row r="146" spans="1:15" ht="28" customHeight="1" x14ac:dyDescent="0.3">
      <c r="A146" s="404" t="s">
        <v>225</v>
      </c>
      <c r="B146" s="373" t="s">
        <v>226</v>
      </c>
      <c r="C146" s="28" t="s">
        <v>42</v>
      </c>
      <c r="D146" s="1">
        <v>1</v>
      </c>
      <c r="E146" s="36">
        <f>5000*3</f>
        <v>15000</v>
      </c>
      <c r="F146" s="41">
        <v>0.2</v>
      </c>
      <c r="G146" s="348">
        <f>E146/(1-F146)</f>
        <v>18750</v>
      </c>
      <c r="H146" s="348">
        <v>1</v>
      </c>
      <c r="I146" s="36"/>
      <c r="J146" s="36"/>
      <c r="K146" s="415">
        <f>H146*D146</f>
        <v>1</v>
      </c>
      <c r="L146" s="350">
        <f>G146+H146</f>
        <v>18751</v>
      </c>
      <c r="M146" s="351">
        <f>D146*L146</f>
        <v>18751</v>
      </c>
      <c r="N146" s="258"/>
      <c r="O146" s="258"/>
    </row>
    <row r="147" spans="1:15" ht="14.15" customHeight="1" x14ac:dyDescent="0.3">
      <c r="A147" s="404"/>
      <c r="B147" s="413"/>
      <c r="C147" s="28"/>
      <c r="D147" s="1"/>
      <c r="E147" s="36"/>
      <c r="F147" s="41"/>
      <c r="G147" s="348"/>
      <c r="H147" s="348"/>
      <c r="I147" s="36"/>
      <c r="J147" s="36"/>
      <c r="K147" s="417"/>
      <c r="L147" s="350"/>
      <c r="M147" s="418"/>
      <c r="N147" s="258"/>
      <c r="O147" s="258"/>
    </row>
    <row r="148" spans="1:15" ht="14.5" customHeight="1" thickBot="1" x14ac:dyDescent="0.35">
      <c r="A148" s="440"/>
      <c r="B148" s="413"/>
      <c r="C148" s="28"/>
      <c r="D148" s="1"/>
      <c r="E148" s="36"/>
      <c r="F148" s="41"/>
      <c r="G148" s="348"/>
      <c r="H148" s="348"/>
      <c r="I148" s="36"/>
      <c r="J148" s="36"/>
      <c r="K148" s="417"/>
      <c r="L148" s="350"/>
      <c r="M148" s="418"/>
      <c r="N148" s="258"/>
      <c r="O148" s="258"/>
    </row>
    <row r="149" spans="1:15" ht="18.75" customHeight="1" thickTop="1" x14ac:dyDescent="0.3">
      <c r="A149" s="419"/>
      <c r="B149" s="420" t="s">
        <v>227</v>
      </c>
      <c r="C149" s="2"/>
      <c r="D149" s="2"/>
      <c r="E149" s="39"/>
      <c r="F149" s="42"/>
      <c r="G149" s="421"/>
      <c r="H149" s="421"/>
      <c r="I149" s="39"/>
      <c r="J149" s="39"/>
      <c r="K149" s="422">
        <f>SUM(K11:K146)</f>
        <v>166210.49999999997</v>
      </c>
      <c r="L149" s="423"/>
      <c r="M149" s="424">
        <f>SUM(M11:M148)</f>
        <v>5217353.6632142849</v>
      </c>
      <c r="N149" s="258"/>
      <c r="O149" s="258"/>
    </row>
    <row r="150" spans="1:15" ht="16.5" customHeight="1" x14ac:dyDescent="0.3">
      <c r="A150" s="426"/>
      <c r="B150" s="427"/>
      <c r="C150" s="257"/>
      <c r="D150" s="47"/>
      <c r="E150" s="250"/>
      <c r="F150" s="48"/>
      <c r="G150" s="428"/>
      <c r="H150" s="428"/>
      <c r="I150" s="250"/>
      <c r="J150" s="250"/>
      <c r="K150" s="429"/>
      <c r="L150" s="430"/>
      <c r="M150" s="431"/>
      <c r="N150" s="258"/>
      <c r="O150" s="258"/>
    </row>
    <row r="151" spans="1:15" ht="18.75" customHeight="1" x14ac:dyDescent="0.3">
      <c r="A151" s="258"/>
      <c r="B151" s="387"/>
      <c r="C151" s="34"/>
      <c r="D151" s="249"/>
      <c r="E151" s="249"/>
      <c r="F151" s="249"/>
      <c r="G151" s="432"/>
      <c r="H151" s="432"/>
      <c r="I151" s="249"/>
      <c r="J151" s="249"/>
      <c r="K151" s="432"/>
      <c r="L151" s="433"/>
      <c r="M151" s="434"/>
      <c r="N151" s="433"/>
      <c r="O151" s="258"/>
    </row>
    <row r="152" spans="1:15" ht="18.75" customHeight="1" x14ac:dyDescent="0.25"/>
    <row r="153" spans="1:15" ht="18.75" customHeight="1" x14ac:dyDescent="0.25"/>
    <row r="154" spans="1:15" ht="18.75" customHeight="1" x14ac:dyDescent="0.25"/>
    <row r="155" spans="1:15" ht="18.75" customHeight="1" x14ac:dyDescent="0.25"/>
    <row r="156" spans="1:15" ht="18.75" customHeight="1" x14ac:dyDescent="0.25"/>
    <row r="157" spans="1:15" ht="18.75" customHeight="1" x14ac:dyDescent="0.25"/>
    <row r="158" spans="1:15" ht="18.75" customHeight="1" x14ac:dyDescent="0.25"/>
    <row r="159" spans="1:15" ht="18.75" customHeight="1" x14ac:dyDescent="0.25"/>
    <row r="160" spans="1:15" ht="18.75" customHeight="1" x14ac:dyDescent="0.25"/>
    <row r="161" ht="18.75" customHeight="1" x14ac:dyDescent="0.25"/>
    <row r="162" ht="18.75" customHeight="1" x14ac:dyDescent="0.25"/>
    <row r="163" ht="18.75" customHeight="1" x14ac:dyDescent="0.25"/>
    <row r="164" ht="18.75" customHeight="1" x14ac:dyDescent="0.25"/>
    <row r="165" ht="18.75" customHeight="1" x14ac:dyDescent="0.25"/>
    <row r="166" ht="18.75" customHeight="1" x14ac:dyDescent="0.25"/>
    <row r="167" ht="18.75" customHeight="1" x14ac:dyDescent="0.25"/>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167"/>
  <sheetViews>
    <sheetView view="pageBreakPreview" zoomScale="85" zoomScaleNormal="100" zoomScaleSheetLayoutView="85" workbookViewId="0">
      <pane ySplit="5" topLeftCell="A6" activePane="bottomLeft" state="frozen"/>
      <selection activeCell="D115" sqref="D115"/>
      <selection pane="bottomLeft" activeCell="G139" sqref="G139"/>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1" width="13.81640625" style="8" customWidth="1"/>
    <col min="12" max="12" width="13.54296875" style="295" bestFit="1" customWidth="1"/>
    <col min="13" max="13" width="16.81640625" style="296" bestFit="1" customWidth="1"/>
    <col min="14" max="14" width="15.54296875" style="29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str">
        <f>'[1]SECTION 1-P&amp;G'!A2:K2</f>
        <v>MUT - Alternative Energy supply</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303"/>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310"/>
      <c r="O4" s="258"/>
    </row>
    <row r="5" spans="1:15" ht="45.75" customHeight="1" thickTop="1" x14ac:dyDescent="0.3">
      <c r="A5" s="311" t="s">
        <v>34</v>
      </c>
      <c r="B5" s="312" t="s">
        <v>4</v>
      </c>
      <c r="C5" s="33" t="s">
        <v>35</v>
      </c>
      <c r="D5" s="33" t="s">
        <v>36</v>
      </c>
      <c r="E5" s="40" t="s">
        <v>72</v>
      </c>
      <c r="F5" s="82" t="s">
        <v>73</v>
      </c>
      <c r="G5" s="313" t="s">
        <v>74</v>
      </c>
      <c r="H5" s="314" t="s">
        <v>75</v>
      </c>
      <c r="I5" s="82" t="s">
        <v>73</v>
      </c>
      <c r="J5" s="315" t="s">
        <v>76</v>
      </c>
      <c r="K5" s="439"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325"/>
      <c r="O6" s="258"/>
    </row>
    <row r="7" spans="1:15" ht="32.15" customHeight="1" x14ac:dyDescent="0.3">
      <c r="A7" s="326">
        <v>2</v>
      </c>
      <c r="B7" s="327"/>
      <c r="C7" s="59"/>
      <c r="D7" s="60" t="s">
        <v>80</v>
      </c>
      <c r="E7" s="60"/>
      <c r="F7" s="60"/>
      <c r="G7" s="328"/>
      <c r="H7" s="328"/>
      <c r="I7" s="60"/>
      <c r="J7" s="60"/>
      <c r="K7" s="328"/>
      <c r="L7" s="329"/>
      <c r="M7" s="329"/>
      <c r="N7" s="330"/>
      <c r="O7" s="258"/>
    </row>
    <row r="8" spans="1:15" ht="16.5" customHeight="1" thickBot="1" x14ac:dyDescent="0.35">
      <c r="A8" s="331"/>
      <c r="B8" s="332"/>
      <c r="C8" s="63"/>
      <c r="D8" s="64"/>
      <c r="E8" s="64"/>
      <c r="F8" s="64"/>
      <c r="G8" s="333"/>
      <c r="H8" s="333"/>
      <c r="I8" s="64"/>
      <c r="J8" s="64"/>
      <c r="K8" s="333"/>
      <c r="L8" s="334"/>
      <c r="M8" s="334"/>
      <c r="N8" s="335"/>
      <c r="O8" s="258"/>
    </row>
    <row r="9" spans="1:15" ht="16.5" customHeight="1" x14ac:dyDescent="0.3">
      <c r="A9" s="336" t="s">
        <v>81</v>
      </c>
      <c r="B9" s="337"/>
      <c r="C9" s="252"/>
      <c r="D9" s="61" t="s">
        <v>82</v>
      </c>
      <c r="E9" s="62"/>
      <c r="F9" s="62"/>
      <c r="G9" s="338"/>
      <c r="H9" s="338"/>
      <c r="I9" s="62"/>
      <c r="J9" s="62"/>
      <c r="K9" s="338"/>
      <c r="L9" s="339"/>
      <c r="M9" s="339"/>
      <c r="N9" s="340"/>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347" t="s">
        <v>229</v>
      </c>
      <c r="C11" s="248" t="s">
        <v>85</v>
      </c>
      <c r="D11" s="1">
        <v>0</v>
      </c>
      <c r="E11" s="36">
        <f>1623.93</f>
        <v>1623.93</v>
      </c>
      <c r="F11" s="41">
        <v>0.25</v>
      </c>
      <c r="G11" s="348">
        <f>E11/(1-F11)</f>
        <v>2165.2400000000002</v>
      </c>
      <c r="H11" s="348">
        <v>350</v>
      </c>
      <c r="I11" s="83">
        <v>0.15</v>
      </c>
      <c r="J11" s="79">
        <f>H11*(1+I11)</f>
        <v>402.49999999999994</v>
      </c>
      <c r="K11" s="349">
        <f>J11*D11</f>
        <v>0</v>
      </c>
      <c r="L11" s="350">
        <f>G11+J11</f>
        <v>2567.7400000000002</v>
      </c>
      <c r="M11" s="351">
        <f>D11*L11</f>
        <v>0</v>
      </c>
      <c r="N11" s="258"/>
      <c r="O11" s="258"/>
    </row>
    <row r="12" spans="1:15" ht="14.5" customHeight="1" thickBot="1" x14ac:dyDescent="0.35">
      <c r="A12" s="354"/>
      <c r="B12" s="355"/>
      <c r="C12" s="97"/>
      <c r="D12" s="72"/>
      <c r="E12" s="73"/>
      <c r="F12" s="74"/>
      <c r="G12" s="356"/>
      <c r="H12" s="356"/>
      <c r="I12" s="73"/>
      <c r="J12" s="73"/>
      <c r="K12" s="357"/>
      <c r="L12" s="358"/>
      <c r="M12" s="358"/>
      <c r="N12" s="258"/>
      <c r="O12" s="258"/>
    </row>
    <row r="13" spans="1:15" ht="14.15" customHeight="1" x14ac:dyDescent="0.3">
      <c r="A13" s="359" t="s">
        <v>86</v>
      </c>
      <c r="B13" s="360"/>
      <c r="C13" s="255"/>
      <c r="D13" s="58" t="s">
        <v>87</v>
      </c>
      <c r="E13" s="56"/>
      <c r="F13" s="57"/>
      <c r="G13" s="361"/>
      <c r="H13" s="361"/>
      <c r="I13" s="56"/>
      <c r="J13" s="56"/>
      <c r="K13" s="362"/>
      <c r="L13" s="363"/>
      <c r="M13" s="363"/>
      <c r="N13" s="258"/>
      <c r="O13" s="258"/>
    </row>
    <row r="14" spans="1:15" ht="28.5" customHeight="1" thickBot="1" x14ac:dyDescent="0.35">
      <c r="A14" s="341" t="s">
        <v>88</v>
      </c>
      <c r="B14" s="365" t="s">
        <v>230</v>
      </c>
      <c r="C14" s="248" t="s">
        <v>90</v>
      </c>
      <c r="D14" s="1">
        <v>3</v>
      </c>
      <c r="E14" s="36">
        <v>87286.19</v>
      </c>
      <c r="F14" s="41">
        <v>0.2</v>
      </c>
      <c r="G14" s="348">
        <f>E14/(1-F14)</f>
        <v>109107.7375</v>
      </c>
      <c r="H14" s="348">
        <f>(550*8)+3600</f>
        <v>8000</v>
      </c>
      <c r="I14" s="83">
        <v>0.15</v>
      </c>
      <c r="J14" s="79">
        <f>H14*(1+I14)</f>
        <v>9200</v>
      </c>
      <c r="K14" s="349">
        <f>J14*D14</f>
        <v>27600</v>
      </c>
      <c r="L14" s="350">
        <f>G14+J14</f>
        <v>118307.7375</v>
      </c>
      <c r="M14" s="351">
        <f>D14*L14</f>
        <v>354923.21250000002</v>
      </c>
      <c r="N14" s="258"/>
      <c r="O14" s="258"/>
    </row>
    <row r="15" spans="1:15" ht="14.5" customHeight="1" thickBot="1" x14ac:dyDescent="0.35">
      <c r="A15" s="354"/>
      <c r="B15" s="355"/>
      <c r="C15" s="97"/>
      <c r="D15" s="72"/>
      <c r="E15" s="73"/>
      <c r="F15" s="74"/>
      <c r="G15" s="356"/>
      <c r="H15" s="356"/>
      <c r="I15" s="73"/>
      <c r="J15" s="73"/>
      <c r="K15" s="357"/>
      <c r="L15" s="358"/>
      <c r="M15" s="358"/>
      <c r="N15" s="258"/>
      <c r="O15" s="258"/>
    </row>
    <row r="16" spans="1:15" ht="14.15" customHeight="1" x14ac:dyDescent="0.3">
      <c r="A16" s="359">
        <v>2.2999999999999998</v>
      </c>
      <c r="B16" s="367"/>
      <c r="C16" s="255"/>
      <c r="D16" s="58" t="s">
        <v>91</v>
      </c>
      <c r="E16" s="56"/>
      <c r="F16" s="57"/>
      <c r="G16" s="361"/>
      <c r="H16" s="361"/>
      <c r="I16" s="56"/>
      <c r="J16" s="56"/>
      <c r="K16" s="362"/>
      <c r="L16" s="363"/>
      <c r="M16" s="363"/>
      <c r="N16" s="258"/>
      <c r="O16" s="258"/>
    </row>
    <row r="17" spans="1:15" ht="14.15" customHeight="1" x14ac:dyDescent="0.3">
      <c r="A17" s="341" t="s">
        <v>92</v>
      </c>
      <c r="B17" s="368" t="s">
        <v>231</v>
      </c>
      <c r="C17" s="30" t="s">
        <v>90</v>
      </c>
      <c r="D17" s="1">
        <v>1</v>
      </c>
      <c r="E17" s="36">
        <v>20000</v>
      </c>
      <c r="F17" s="41">
        <v>0.2</v>
      </c>
      <c r="G17" s="348">
        <f>E17/(1-F17)</f>
        <v>25000</v>
      </c>
      <c r="H17" s="348">
        <f>(550*4)+3500</f>
        <v>5700</v>
      </c>
      <c r="I17" s="83">
        <v>0.15</v>
      </c>
      <c r="J17" s="79">
        <f>H17*(1+I17)</f>
        <v>6554.9999999999991</v>
      </c>
      <c r="K17" s="349">
        <f>J17*D17</f>
        <v>6554.9999999999991</v>
      </c>
      <c r="L17" s="350">
        <f>G17+J17</f>
        <v>31555</v>
      </c>
      <c r="M17" s="351">
        <f>D17*L17</f>
        <v>31555</v>
      </c>
      <c r="N17" s="258"/>
      <c r="O17" s="258"/>
    </row>
    <row r="18" spans="1:15" ht="14.5" customHeight="1" thickBot="1" x14ac:dyDescent="0.35">
      <c r="A18" s="341" t="s">
        <v>94</v>
      </c>
      <c r="B18" s="368" t="s">
        <v>95</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258"/>
      <c r="O18" s="369"/>
    </row>
    <row r="19" spans="1:15" ht="14.15" customHeight="1" x14ac:dyDescent="0.3">
      <c r="A19" s="359">
        <v>2.4</v>
      </c>
      <c r="B19" s="360"/>
      <c r="C19" s="255"/>
      <c r="D19" s="58" t="s">
        <v>96</v>
      </c>
      <c r="E19" s="56"/>
      <c r="F19" s="57"/>
      <c r="G19" s="361"/>
      <c r="H19" s="361"/>
      <c r="I19" s="56"/>
      <c r="J19" s="56"/>
      <c r="K19" s="362"/>
      <c r="L19" s="363"/>
      <c r="M19" s="363"/>
      <c r="N19" s="258"/>
      <c r="O19" s="258"/>
    </row>
    <row r="20" spans="1:15" ht="28" customHeight="1" x14ac:dyDescent="0.3">
      <c r="A20" s="370" t="s">
        <v>97</v>
      </c>
      <c r="B20" s="365" t="s">
        <v>232</v>
      </c>
      <c r="C20" s="7" t="s">
        <v>85</v>
      </c>
      <c r="D20" s="7">
        <v>3</v>
      </c>
      <c r="E20" s="37">
        <f>906452.58*1.2</f>
        <v>1087743.0959999999</v>
      </c>
      <c r="F20" s="41">
        <v>0.2</v>
      </c>
      <c r="G20" s="348">
        <f>E20/(1-F20)</f>
        <v>1359678.8699999999</v>
      </c>
      <c r="H20" s="371">
        <f>(550*8)+3600</f>
        <v>8000</v>
      </c>
      <c r="I20" s="83">
        <v>0.15</v>
      </c>
      <c r="J20" s="79">
        <f>H20*(1+I20)</f>
        <v>9200</v>
      </c>
      <c r="K20" s="349">
        <f>J20*D20</f>
        <v>27600</v>
      </c>
      <c r="L20" s="350">
        <f>G20+J20</f>
        <v>1368878.8699999999</v>
      </c>
      <c r="M20" s="351">
        <f>D20*L20</f>
        <v>4106636.6099999994</v>
      </c>
      <c r="N20" s="258"/>
      <c r="O20" s="258"/>
    </row>
    <row r="21" spans="1:15" ht="14.15" customHeight="1" x14ac:dyDescent="0.3">
      <c r="A21" s="370"/>
      <c r="B21" s="373"/>
      <c r="C21" s="3"/>
      <c r="D21" s="7"/>
      <c r="E21" s="37"/>
      <c r="F21" s="41"/>
      <c r="G21" s="348"/>
      <c r="H21" s="371"/>
      <c r="I21" s="66"/>
      <c r="J21" s="66"/>
      <c r="K21" s="349"/>
      <c r="L21" s="350"/>
      <c r="M21" s="351"/>
      <c r="N21" s="258"/>
      <c r="O21" s="258"/>
    </row>
    <row r="22" spans="1:15" ht="14.15" customHeight="1" x14ac:dyDescent="0.3">
      <c r="A22" s="370" t="s">
        <v>99</v>
      </c>
      <c r="B22" s="373"/>
      <c r="C22" s="3"/>
      <c r="D22" s="7"/>
      <c r="E22" s="37"/>
      <c r="F22" s="41"/>
      <c r="G22" s="348"/>
      <c r="H22" s="371"/>
      <c r="I22" s="66"/>
      <c r="J22" s="66"/>
      <c r="K22" s="349"/>
      <c r="L22" s="350"/>
      <c r="M22" s="351"/>
      <c r="N22" s="258"/>
      <c r="O22" s="258"/>
    </row>
    <row r="23" spans="1:15" ht="28.5" customHeight="1" thickBot="1" x14ac:dyDescent="0.35">
      <c r="A23" s="374"/>
      <c r="B23" s="375" t="s">
        <v>100</v>
      </c>
      <c r="C23" s="68" t="s">
        <v>90</v>
      </c>
      <c r="D23" s="68">
        <v>6</v>
      </c>
      <c r="E23" s="69">
        <f>1888.71*1.15</f>
        <v>2172.0164999999997</v>
      </c>
      <c r="F23" s="52">
        <v>0.2</v>
      </c>
      <c r="G23" s="376">
        <f>E23/(1-F23)</f>
        <v>2715.0206249999997</v>
      </c>
      <c r="H23" s="377">
        <f>250*1</f>
        <v>250</v>
      </c>
      <c r="I23" s="83">
        <v>0.15</v>
      </c>
      <c r="J23" s="79">
        <f>H23*(1+I23)</f>
        <v>287.5</v>
      </c>
      <c r="K23" s="349">
        <f>J23*D23</f>
        <v>1725</v>
      </c>
      <c r="L23" s="350">
        <f>G23+J23</f>
        <v>3002.5206249999997</v>
      </c>
      <c r="M23" s="378">
        <f>D23*L23</f>
        <v>18015.123749999999</v>
      </c>
      <c r="N23" s="258"/>
      <c r="O23" s="258"/>
    </row>
    <row r="24" spans="1:15" ht="14.5" customHeight="1" thickBot="1" x14ac:dyDescent="0.35">
      <c r="A24" s="354"/>
      <c r="B24" s="355"/>
      <c r="C24" s="97"/>
      <c r="D24" s="72"/>
      <c r="E24" s="73"/>
      <c r="F24" s="74"/>
      <c r="G24" s="356"/>
      <c r="H24" s="356"/>
      <c r="I24" s="73"/>
      <c r="J24" s="73"/>
      <c r="K24" s="357"/>
      <c r="L24" s="358"/>
      <c r="M24" s="358"/>
      <c r="N24" s="258"/>
      <c r="O24" s="258"/>
    </row>
    <row r="25" spans="1:15" ht="14.15" customHeight="1" x14ac:dyDescent="0.3">
      <c r="A25" s="379">
        <v>2.5</v>
      </c>
      <c r="B25" s="360"/>
      <c r="C25" s="255"/>
      <c r="D25" s="58" t="s">
        <v>101</v>
      </c>
      <c r="E25" s="56"/>
      <c r="F25" s="57"/>
      <c r="G25" s="361"/>
      <c r="H25" s="361"/>
      <c r="I25" s="56"/>
      <c r="J25" s="56"/>
      <c r="K25" s="362"/>
      <c r="L25" s="363"/>
      <c r="M25" s="363"/>
      <c r="N25" s="258"/>
      <c r="O25" s="258"/>
    </row>
    <row r="26" spans="1:15" ht="14.15" customHeight="1" x14ac:dyDescent="0.3">
      <c r="A26" s="380" t="s">
        <v>102</v>
      </c>
      <c r="B26" s="368" t="s">
        <v>103</v>
      </c>
      <c r="C26" s="7" t="s">
        <v>85</v>
      </c>
      <c r="D26" s="7">
        <v>1</v>
      </c>
      <c r="E26" s="37">
        <v>650</v>
      </c>
      <c r="F26" s="41">
        <v>0.2</v>
      </c>
      <c r="G26" s="348">
        <f>E26/(1-F26)</f>
        <v>812.5</v>
      </c>
      <c r="H26" s="371">
        <f>(((5*200)*4)*1.2)/D26</f>
        <v>4800</v>
      </c>
      <c r="I26" s="83">
        <v>0.15</v>
      </c>
      <c r="J26" s="79">
        <f>H26*(1+I26)</f>
        <v>5520</v>
      </c>
      <c r="K26" s="349">
        <f>J26*D26</f>
        <v>5520</v>
      </c>
      <c r="L26" s="350">
        <f>G26+J26</f>
        <v>6332.5</v>
      </c>
      <c r="M26" s="351">
        <f>D26*L26</f>
        <v>6332.5</v>
      </c>
      <c r="N26" s="258"/>
      <c r="O26" s="258"/>
    </row>
    <row r="27" spans="1:15" ht="14.5" customHeight="1" thickBot="1" x14ac:dyDescent="0.35">
      <c r="A27" s="381"/>
      <c r="B27" s="375" t="s">
        <v>104</v>
      </c>
      <c r="C27" s="49"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355"/>
      <c r="C28" s="97"/>
      <c r="D28" s="72"/>
      <c r="E28" s="73"/>
      <c r="F28" s="74"/>
      <c r="G28" s="356"/>
      <c r="H28" s="356"/>
      <c r="I28" s="73"/>
      <c r="J28" s="73"/>
      <c r="K28" s="357"/>
      <c r="L28" s="358"/>
      <c r="M28" s="358"/>
      <c r="N28" s="258"/>
      <c r="O28" s="258"/>
    </row>
    <row r="29" spans="1:15" ht="14.15" customHeight="1" x14ac:dyDescent="0.3">
      <c r="A29" s="359">
        <v>2.6</v>
      </c>
      <c r="B29" s="360"/>
      <c r="C29" s="255"/>
      <c r="D29" s="58" t="s">
        <v>105</v>
      </c>
      <c r="E29" s="56"/>
      <c r="F29" s="57"/>
      <c r="G29" s="361"/>
      <c r="H29" s="361"/>
      <c r="I29" s="56"/>
      <c r="J29" s="56"/>
      <c r="K29" s="362"/>
      <c r="L29" s="363"/>
      <c r="M29" s="363"/>
      <c r="N29" s="258"/>
      <c r="O29" s="258"/>
    </row>
    <row r="30" spans="1:15" ht="42" customHeight="1" x14ac:dyDescent="0.3">
      <c r="A30" s="341" t="s">
        <v>106</v>
      </c>
      <c r="B30" s="368" t="s">
        <v>107</v>
      </c>
      <c r="C30" s="248" t="s">
        <v>108</v>
      </c>
      <c r="D30" s="1">
        <v>0</v>
      </c>
      <c r="E30" s="36">
        <f>14.85*1.15</f>
        <v>17.077499999999997</v>
      </c>
      <c r="F30" s="41">
        <v>0.2</v>
      </c>
      <c r="G30" s="348">
        <f>E30/(1-F30)</f>
        <v>21.346874999999994</v>
      </c>
      <c r="H30" s="348">
        <f>39</f>
        <v>39</v>
      </c>
      <c r="I30" s="83">
        <v>0.15</v>
      </c>
      <c r="J30" s="79">
        <f>H30*(1+I30)</f>
        <v>44.849999999999994</v>
      </c>
      <c r="K30" s="349">
        <f>J30*D30</f>
        <v>0</v>
      </c>
      <c r="L30" s="350">
        <f>G30+J30</f>
        <v>66.196874999999991</v>
      </c>
      <c r="M30" s="351">
        <f>D30*L30</f>
        <v>0</v>
      </c>
      <c r="N30" s="258"/>
      <c r="O30" s="258"/>
    </row>
    <row r="31" spans="1:15" ht="14.15" customHeight="1" x14ac:dyDescent="0.3">
      <c r="A31" s="341" t="s">
        <v>109</v>
      </c>
      <c r="B31" s="373" t="s">
        <v>110</v>
      </c>
      <c r="C31" s="30" t="s">
        <v>108</v>
      </c>
      <c r="D31" s="1">
        <v>6</v>
      </c>
      <c r="E31" s="36">
        <f>180*1.15</f>
        <v>206.99999999999997</v>
      </c>
      <c r="F31" s="41">
        <v>0.2</v>
      </c>
      <c r="G31" s="348">
        <f>E31/(1-F31)</f>
        <v>258.74999999999994</v>
      </c>
      <c r="H31" s="348">
        <f>65</f>
        <v>65</v>
      </c>
      <c r="I31" s="83">
        <v>0.15</v>
      </c>
      <c r="J31" s="79">
        <f>H31*(1+I31)</f>
        <v>74.75</v>
      </c>
      <c r="K31" s="349">
        <f>J31*D31</f>
        <v>448.5</v>
      </c>
      <c r="L31" s="350">
        <f>G31+J31</f>
        <v>333.49999999999994</v>
      </c>
      <c r="M31" s="351">
        <f>D31*L31</f>
        <v>2000.9999999999995</v>
      </c>
      <c r="N31" s="258"/>
      <c r="O31" s="258"/>
    </row>
    <row r="32" spans="1:15" ht="14.15" customHeight="1" x14ac:dyDescent="0.3">
      <c r="A32" s="341" t="s">
        <v>111</v>
      </c>
      <c r="B32" s="373" t="s">
        <v>112</v>
      </c>
      <c r="C32" s="30"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258"/>
    </row>
    <row r="33" spans="1:15" ht="14.5" customHeight="1" thickBot="1" x14ac:dyDescent="0.35">
      <c r="A33" s="381"/>
      <c r="B33" s="383" t="s">
        <v>113</v>
      </c>
      <c r="C33" s="49"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355"/>
      <c r="C34" s="97"/>
      <c r="D34" s="72"/>
      <c r="E34" s="73"/>
      <c r="F34" s="74"/>
      <c r="G34" s="356"/>
      <c r="H34" s="356"/>
      <c r="I34" s="73"/>
      <c r="J34" s="73"/>
      <c r="K34" s="357"/>
      <c r="L34" s="358"/>
      <c r="M34" s="358"/>
      <c r="N34" s="258"/>
      <c r="O34" s="258"/>
    </row>
    <row r="35" spans="1:15" ht="14.15" customHeight="1" x14ac:dyDescent="0.3">
      <c r="A35" s="359">
        <v>2.7</v>
      </c>
      <c r="B35" s="360"/>
      <c r="C35" s="255"/>
      <c r="D35" s="58" t="s">
        <v>114</v>
      </c>
      <c r="E35" s="56"/>
      <c r="F35" s="57"/>
      <c r="G35" s="361"/>
      <c r="H35" s="361"/>
      <c r="I35" s="56"/>
      <c r="J35" s="56"/>
      <c r="K35" s="362"/>
      <c r="L35" s="363"/>
      <c r="M35" s="363"/>
      <c r="N35" s="258"/>
      <c r="O35" s="258"/>
    </row>
    <row r="36" spans="1:15" ht="28" customHeight="1" x14ac:dyDescent="0.3">
      <c r="A36" s="370" t="s">
        <v>115</v>
      </c>
      <c r="B36" s="368" t="s">
        <v>116</v>
      </c>
      <c r="C36" s="7" t="s">
        <v>85</v>
      </c>
      <c r="D36" s="7">
        <v>0</v>
      </c>
      <c r="E36" s="37">
        <f>13501.37*1.2</f>
        <v>16201.644</v>
      </c>
      <c r="F36" s="41">
        <v>0.2</v>
      </c>
      <c r="G36" s="348">
        <f>E36/(1-F36)</f>
        <v>20252.055</v>
      </c>
      <c r="H36" s="371">
        <f>250*2</f>
        <v>500</v>
      </c>
      <c r="I36" s="83">
        <v>0.15</v>
      </c>
      <c r="J36" s="79">
        <f>H36*(1+I36)</f>
        <v>575</v>
      </c>
      <c r="K36" s="349">
        <f>J36*D36</f>
        <v>0</v>
      </c>
      <c r="L36" s="350">
        <f>G36+J36</f>
        <v>20827.055</v>
      </c>
      <c r="M36" s="351">
        <f>D36*L36</f>
        <v>0</v>
      </c>
      <c r="N36" s="258"/>
      <c r="O36" s="258"/>
    </row>
    <row r="37" spans="1:15" ht="28.5" customHeight="1" thickBot="1" x14ac:dyDescent="0.35">
      <c r="A37" s="381" t="s">
        <v>117</v>
      </c>
      <c r="B37" s="375" t="s">
        <v>118</v>
      </c>
      <c r="C37" s="68" t="s">
        <v>85</v>
      </c>
      <c r="D37" s="68">
        <v>0</v>
      </c>
      <c r="E37" s="69">
        <f>13501.37*1.2</f>
        <v>16201.644</v>
      </c>
      <c r="F37" s="52">
        <v>0.2</v>
      </c>
      <c r="G37" s="376">
        <f>E37/(1-F37)</f>
        <v>20252.055</v>
      </c>
      <c r="H37" s="377">
        <f>250*2</f>
        <v>500</v>
      </c>
      <c r="I37" s="83">
        <v>0.15</v>
      </c>
      <c r="J37" s="79">
        <f>H37*(1+I37)</f>
        <v>575</v>
      </c>
      <c r="K37" s="382">
        <f>J37*D37</f>
        <v>0</v>
      </c>
      <c r="L37" s="350">
        <f>G37+J37</f>
        <v>20827.055</v>
      </c>
      <c r="M37" s="378">
        <f>D37*L37</f>
        <v>0</v>
      </c>
      <c r="N37" s="258"/>
      <c r="O37" s="258"/>
    </row>
    <row r="38" spans="1:15" ht="14.5" customHeight="1" thickBot="1" x14ac:dyDescent="0.35">
      <c r="A38" s="354"/>
      <c r="B38" s="355"/>
      <c r="C38" s="97"/>
      <c r="D38" s="72"/>
      <c r="E38" s="73"/>
      <c r="F38" s="74"/>
      <c r="G38" s="356"/>
      <c r="H38" s="356"/>
      <c r="I38" s="73"/>
      <c r="J38" s="73"/>
      <c r="K38" s="357"/>
      <c r="L38" s="358"/>
      <c r="M38" s="358"/>
      <c r="N38" s="258"/>
      <c r="O38" s="258"/>
    </row>
    <row r="39" spans="1:15" ht="16.5" customHeight="1" x14ac:dyDescent="0.3">
      <c r="A39" s="359">
        <v>2.8</v>
      </c>
      <c r="B39" s="360"/>
      <c r="C39" s="255"/>
      <c r="D39" s="58" t="s">
        <v>119</v>
      </c>
      <c r="E39" s="56"/>
      <c r="F39" s="57"/>
      <c r="G39" s="361"/>
      <c r="H39" s="361"/>
      <c r="I39" s="56"/>
      <c r="J39" s="56"/>
      <c r="K39" s="362"/>
      <c r="L39" s="363"/>
      <c r="M39" s="363"/>
      <c r="N39" s="258"/>
      <c r="O39" s="258"/>
    </row>
    <row r="40" spans="1:15" ht="16.5" customHeight="1" x14ac:dyDescent="0.3">
      <c r="A40" s="384"/>
      <c r="B40" s="342"/>
      <c r="C40" s="30"/>
      <c r="D40" s="1"/>
      <c r="E40" s="36"/>
      <c r="F40" s="41"/>
      <c r="G40" s="348"/>
      <c r="H40" s="348"/>
      <c r="I40" s="83"/>
      <c r="J40" s="79"/>
      <c r="K40" s="349"/>
      <c r="L40" s="350"/>
      <c r="M40" s="351"/>
      <c r="N40" s="258"/>
      <c r="O40" s="258"/>
    </row>
    <row r="41" spans="1:15" ht="14.15" customHeight="1" x14ac:dyDescent="0.3">
      <c r="A41" s="341" t="s">
        <v>120</v>
      </c>
      <c r="B41" s="385" t="s">
        <v>121</v>
      </c>
      <c r="C41" s="30" t="s">
        <v>85</v>
      </c>
      <c r="D41" s="1">
        <v>3</v>
      </c>
      <c r="E41" s="36">
        <v>2500</v>
      </c>
      <c r="F41" s="41">
        <v>0.2</v>
      </c>
      <c r="G41" s="348">
        <f>E41/(1-F41)</f>
        <v>3125</v>
      </c>
      <c r="H41" s="348">
        <f>(250+100)*4</f>
        <v>1400</v>
      </c>
      <c r="I41" s="83">
        <v>0.15</v>
      </c>
      <c r="J41" s="79">
        <f>H41*(1+I41)</f>
        <v>1609.9999999999998</v>
      </c>
      <c r="K41" s="349">
        <f>J41*D41</f>
        <v>4829.9999999999991</v>
      </c>
      <c r="L41" s="350">
        <f>G41+J41</f>
        <v>4735</v>
      </c>
      <c r="M41" s="351">
        <f>D41*L41</f>
        <v>14205</v>
      </c>
      <c r="N41" s="258"/>
      <c r="O41" s="258"/>
    </row>
    <row r="42" spans="1:15" ht="14.15" customHeight="1" x14ac:dyDescent="0.3">
      <c r="A42" s="341"/>
      <c r="B42" s="386"/>
      <c r="C42" s="103"/>
      <c r="D42" s="1"/>
      <c r="E42" s="36"/>
      <c r="F42" s="41"/>
      <c r="G42" s="348"/>
      <c r="H42" s="348"/>
      <c r="I42" s="79"/>
      <c r="J42" s="79"/>
      <c r="K42" s="349"/>
      <c r="L42" s="350"/>
      <c r="M42" s="351"/>
      <c r="N42" s="258"/>
      <c r="O42" s="258"/>
    </row>
    <row r="43" spans="1:15" ht="14.15" customHeight="1" x14ac:dyDescent="0.3">
      <c r="A43" s="341" t="s">
        <v>122</v>
      </c>
      <c r="B43" s="385" t="s">
        <v>123</v>
      </c>
      <c r="C43" s="30" t="s">
        <v>85</v>
      </c>
      <c r="D43" s="1">
        <v>0</v>
      </c>
      <c r="E43" s="36">
        <v>1800</v>
      </c>
      <c r="F43" s="41">
        <v>0.2</v>
      </c>
      <c r="G43" s="348">
        <f>E43/(1-F43)</f>
        <v>2250</v>
      </c>
      <c r="H43" s="348">
        <f>(250+100)*4</f>
        <v>1400</v>
      </c>
      <c r="I43" s="83">
        <v>0.15</v>
      </c>
      <c r="J43" s="79">
        <f>H43*(1+I43)</f>
        <v>1609.9999999999998</v>
      </c>
      <c r="K43" s="349">
        <f>J43*D43</f>
        <v>0</v>
      </c>
      <c r="L43" s="350">
        <f>G43+J43</f>
        <v>3860</v>
      </c>
      <c r="M43" s="351">
        <f>D43*L43</f>
        <v>0</v>
      </c>
      <c r="N43" s="258"/>
      <c r="O43" s="258"/>
    </row>
    <row r="44" spans="1:15" ht="14.15" customHeight="1" x14ac:dyDescent="0.3">
      <c r="A44" s="341"/>
      <c r="B44" s="385"/>
      <c r="C44" s="30"/>
      <c r="D44" s="1"/>
      <c r="E44" s="36"/>
      <c r="F44" s="41"/>
      <c r="G44" s="348"/>
      <c r="H44" s="348"/>
      <c r="I44" s="79"/>
      <c r="J44" s="79"/>
      <c r="K44" s="349"/>
      <c r="L44" s="350"/>
      <c r="M44" s="351"/>
      <c r="N44" s="258"/>
      <c r="O44" s="258"/>
    </row>
    <row r="45" spans="1:15" ht="14.15" customHeight="1" x14ac:dyDescent="0.3">
      <c r="A45" s="341" t="s">
        <v>124</v>
      </c>
      <c r="B45" s="385" t="s">
        <v>125</v>
      </c>
      <c r="C45" s="30" t="s">
        <v>85</v>
      </c>
      <c r="D45" s="1">
        <f>2 + N("Isolators")</f>
        <v>2</v>
      </c>
      <c r="E45" s="36">
        <v>1734.1</v>
      </c>
      <c r="F45" s="41">
        <v>0.2</v>
      </c>
      <c r="G45" s="348">
        <f>E45/(1-F45)</f>
        <v>2167.6249999999995</v>
      </c>
      <c r="H45" s="348">
        <f>(250+100)*4</f>
        <v>1400</v>
      </c>
      <c r="I45" s="83">
        <v>0.15</v>
      </c>
      <c r="J45" s="79">
        <f>H45*(1+I45)</f>
        <v>1609.9999999999998</v>
      </c>
      <c r="K45" s="349">
        <f>J45*D45</f>
        <v>3219.9999999999995</v>
      </c>
      <c r="L45" s="350">
        <f>G45+J45</f>
        <v>3777.6249999999991</v>
      </c>
      <c r="M45" s="351">
        <f>D45*L45</f>
        <v>7555.2499999999982</v>
      </c>
      <c r="N45" s="258"/>
      <c r="O45" s="258"/>
    </row>
    <row r="46" spans="1:15" ht="14.15" customHeight="1" x14ac:dyDescent="0.3">
      <c r="A46" s="341"/>
      <c r="B46" s="387"/>
      <c r="C46" s="103"/>
      <c r="D46" s="1"/>
      <c r="E46" s="36"/>
      <c r="F46" s="41"/>
      <c r="G46" s="348"/>
      <c r="H46" s="348"/>
      <c r="I46" s="79"/>
      <c r="J46" s="79"/>
      <c r="K46" s="349"/>
      <c r="L46" s="350"/>
      <c r="M46" s="351"/>
      <c r="N46" s="258"/>
      <c r="O46" s="258"/>
    </row>
    <row r="47" spans="1:15" ht="14.5" customHeight="1" thickBot="1" x14ac:dyDescent="0.35">
      <c r="A47" s="381" t="s">
        <v>126</v>
      </c>
      <c r="B47" s="388" t="s">
        <v>127</v>
      </c>
      <c r="C47" s="49" t="s">
        <v>85</v>
      </c>
      <c r="D47" s="50">
        <v>1</v>
      </c>
      <c r="E47" s="51">
        <f>550*1.2</f>
        <v>660</v>
      </c>
      <c r="F47" s="52">
        <v>0.2</v>
      </c>
      <c r="G47" s="376">
        <f>E47/(1-F47)</f>
        <v>825</v>
      </c>
      <c r="H47" s="376">
        <f>(250+100)*4</f>
        <v>1400</v>
      </c>
      <c r="I47" s="83">
        <v>0.15</v>
      </c>
      <c r="J47" s="79">
        <f>H47*(1+I47)</f>
        <v>1609.9999999999998</v>
      </c>
      <c r="K47" s="349">
        <f>J47*D47</f>
        <v>1609.9999999999998</v>
      </c>
      <c r="L47" s="350">
        <f>G47+J47</f>
        <v>2435</v>
      </c>
      <c r="M47" s="378">
        <f>D47*L47</f>
        <v>2435</v>
      </c>
      <c r="N47" s="258"/>
      <c r="O47" s="258"/>
    </row>
    <row r="48" spans="1:15" ht="14.5" customHeight="1" thickBot="1" x14ac:dyDescent="0.35">
      <c r="A48" s="354"/>
      <c r="B48" s="355"/>
      <c r="C48" s="97"/>
      <c r="D48" s="72"/>
      <c r="E48" s="73"/>
      <c r="F48" s="74"/>
      <c r="G48" s="356"/>
      <c r="H48" s="356"/>
      <c r="I48" s="73"/>
      <c r="J48" s="73"/>
      <c r="K48" s="357"/>
      <c r="L48" s="358"/>
      <c r="M48" s="358"/>
      <c r="N48" s="258"/>
      <c r="O48" s="258"/>
    </row>
    <row r="49" spans="1:15" ht="16.5" customHeight="1" x14ac:dyDescent="0.3">
      <c r="A49" s="359">
        <v>2.9</v>
      </c>
      <c r="B49" s="367"/>
      <c r="C49" s="255"/>
      <c r="D49" s="58" t="s">
        <v>128</v>
      </c>
      <c r="E49" s="56"/>
      <c r="F49" s="57"/>
      <c r="G49" s="361"/>
      <c r="H49" s="361"/>
      <c r="I49" s="56"/>
      <c r="J49" s="56"/>
      <c r="K49" s="362"/>
      <c r="L49" s="363"/>
      <c r="M49" s="363"/>
      <c r="N49" s="258"/>
      <c r="O49" s="258"/>
    </row>
    <row r="50" spans="1:15" ht="16.5" customHeight="1" x14ac:dyDescent="0.3">
      <c r="A50" s="341"/>
      <c r="B50" s="342"/>
      <c r="C50" s="30"/>
      <c r="D50" s="1"/>
      <c r="E50" s="36"/>
      <c r="F50" s="41"/>
      <c r="G50" s="348"/>
      <c r="H50" s="348"/>
      <c r="I50" s="79"/>
      <c r="J50" s="79"/>
      <c r="K50" s="349"/>
      <c r="L50" s="350"/>
      <c r="M50" s="351"/>
      <c r="N50" s="258"/>
      <c r="O50" s="258"/>
    </row>
    <row r="51" spans="1:15" ht="14.15" customHeight="1" x14ac:dyDescent="0.3">
      <c r="A51" s="341" t="s">
        <v>129</v>
      </c>
      <c r="B51" s="385" t="s">
        <v>130</v>
      </c>
      <c r="C51" s="30" t="s">
        <v>85</v>
      </c>
      <c r="D51" s="1">
        <v>0</v>
      </c>
      <c r="E51" s="36">
        <v>2500</v>
      </c>
      <c r="F51" s="41">
        <v>0.2</v>
      </c>
      <c r="G51" s="348">
        <f>E51/(1-F51)</f>
        <v>3125</v>
      </c>
      <c r="H51" s="348">
        <f>250*1</f>
        <v>250</v>
      </c>
      <c r="I51" s="83">
        <v>0.15</v>
      </c>
      <c r="J51" s="79">
        <f>H51*(1+I51)</f>
        <v>287.5</v>
      </c>
      <c r="K51" s="349">
        <f>J51*D51</f>
        <v>0</v>
      </c>
      <c r="L51" s="350">
        <f>G51+J51</f>
        <v>3412.5</v>
      </c>
      <c r="M51" s="351">
        <f>D51*L51</f>
        <v>0</v>
      </c>
      <c r="N51" s="258"/>
      <c r="O51" s="258"/>
    </row>
    <row r="52" spans="1:15" ht="14.15" customHeight="1" x14ac:dyDescent="0.3">
      <c r="A52" s="341"/>
      <c r="B52" s="385"/>
      <c r="C52" s="30"/>
      <c r="D52" s="1"/>
      <c r="E52" s="36"/>
      <c r="F52" s="41"/>
      <c r="G52" s="348"/>
      <c r="H52" s="348"/>
      <c r="I52" s="79"/>
      <c r="J52" s="79"/>
      <c r="K52" s="349"/>
      <c r="L52" s="350"/>
      <c r="M52" s="351"/>
      <c r="N52" s="258"/>
      <c r="O52" s="258"/>
    </row>
    <row r="53" spans="1:15" ht="14.15" customHeight="1" x14ac:dyDescent="0.3">
      <c r="A53" s="341" t="s">
        <v>131</v>
      </c>
      <c r="B53" s="385" t="s">
        <v>132</v>
      </c>
      <c r="C53" s="30" t="s">
        <v>85</v>
      </c>
      <c r="D53" s="1">
        <v>3</v>
      </c>
      <c r="E53" s="36">
        <v>5729</v>
      </c>
      <c r="F53" s="41">
        <v>0.2</v>
      </c>
      <c r="G53" s="348">
        <f>E53/(1-F53)</f>
        <v>7161.25</v>
      </c>
      <c r="H53" s="348">
        <v>250</v>
      </c>
      <c r="I53" s="83">
        <v>0.15</v>
      </c>
      <c r="J53" s="79">
        <f>H53*(1+I53)</f>
        <v>287.5</v>
      </c>
      <c r="K53" s="349">
        <f>J53*D53</f>
        <v>862.5</v>
      </c>
      <c r="L53" s="350">
        <f>G53+J53</f>
        <v>7448.75</v>
      </c>
      <c r="M53" s="351">
        <f>D53*L53</f>
        <v>22346.25</v>
      </c>
      <c r="N53" s="258"/>
      <c r="O53" s="258"/>
    </row>
    <row r="54" spans="1:15" ht="14.15" customHeight="1" x14ac:dyDescent="0.3">
      <c r="A54" s="341"/>
      <c r="B54" s="387"/>
      <c r="C54" s="103"/>
      <c r="D54" s="1"/>
      <c r="E54" s="36"/>
      <c r="F54" s="41"/>
      <c r="G54" s="348"/>
      <c r="H54" s="348"/>
      <c r="I54" s="79"/>
      <c r="J54" s="79"/>
      <c r="K54" s="349"/>
      <c r="L54" s="350"/>
      <c r="M54" s="351"/>
      <c r="N54" s="258"/>
      <c r="O54" s="258"/>
    </row>
    <row r="55" spans="1:15" ht="14.15" customHeight="1" x14ac:dyDescent="0.3">
      <c r="A55" s="341" t="s">
        <v>133</v>
      </c>
      <c r="B55" s="387" t="s">
        <v>134</v>
      </c>
      <c r="C55" s="30" t="s">
        <v>85</v>
      </c>
      <c r="D55" s="1">
        <v>1</v>
      </c>
      <c r="E55" s="36">
        <f>5729</f>
        <v>5729</v>
      </c>
      <c r="F55" s="41">
        <v>0.2</v>
      </c>
      <c r="G55" s="348">
        <f>E55/(1-F55)</f>
        <v>7161.25</v>
      </c>
      <c r="H55" s="348">
        <v>250</v>
      </c>
      <c r="I55" s="83">
        <v>0.15</v>
      </c>
      <c r="J55" s="79">
        <f>H55*(1+I55)</f>
        <v>287.5</v>
      </c>
      <c r="K55" s="349">
        <f>J55*D55</f>
        <v>287.5</v>
      </c>
      <c r="L55" s="350">
        <f>G55+J55</f>
        <v>7448.75</v>
      </c>
      <c r="M55" s="351">
        <f>D55*L55</f>
        <v>7448.75</v>
      </c>
      <c r="N55" s="258"/>
      <c r="O55" s="258"/>
    </row>
    <row r="56" spans="1:15" ht="14.15" customHeight="1" x14ac:dyDescent="0.3">
      <c r="A56" s="341"/>
      <c r="B56" s="387"/>
      <c r="C56" s="96"/>
      <c r="D56" s="1"/>
      <c r="E56" s="36"/>
      <c r="F56" s="41"/>
      <c r="G56" s="348"/>
      <c r="H56" s="348"/>
      <c r="I56" s="79"/>
      <c r="J56" s="79"/>
      <c r="K56" s="349"/>
      <c r="L56" s="350"/>
      <c r="M56" s="351"/>
      <c r="N56" s="258"/>
      <c r="O56" s="258"/>
    </row>
    <row r="57" spans="1:15" ht="28" customHeight="1" x14ac:dyDescent="0.3">
      <c r="A57" s="341" t="s">
        <v>135</v>
      </c>
      <c r="B57" s="385" t="s">
        <v>136</v>
      </c>
      <c r="C57" s="248" t="s">
        <v>85</v>
      </c>
      <c r="D57" s="1">
        <v>3</v>
      </c>
      <c r="E57" s="36">
        <v>350</v>
      </c>
      <c r="F57" s="41">
        <v>0.2</v>
      </c>
      <c r="G57" s="348">
        <f>E57/(1-F57)</f>
        <v>437.5</v>
      </c>
      <c r="H57" s="348">
        <v>250</v>
      </c>
      <c r="I57" s="83">
        <v>0.15</v>
      </c>
      <c r="J57" s="79">
        <f>H57*(1+I57)</f>
        <v>287.5</v>
      </c>
      <c r="K57" s="349">
        <f>J57*D57</f>
        <v>862.5</v>
      </c>
      <c r="L57" s="350">
        <f>G57+J57</f>
        <v>725</v>
      </c>
      <c r="M57" s="351">
        <f>D57*L57</f>
        <v>2175</v>
      </c>
      <c r="N57" s="258"/>
      <c r="O57" s="258"/>
    </row>
    <row r="58" spans="1:15" ht="14.15" customHeight="1" x14ac:dyDescent="0.3">
      <c r="A58" s="341"/>
      <c r="B58" s="387"/>
      <c r="C58" s="93"/>
      <c r="D58" s="1"/>
      <c r="E58" s="36"/>
      <c r="F58" s="41"/>
      <c r="G58" s="348"/>
      <c r="H58" s="348"/>
      <c r="I58" s="79"/>
      <c r="J58" s="79"/>
      <c r="K58" s="349"/>
      <c r="L58" s="350"/>
      <c r="M58" s="351"/>
      <c r="N58" s="258"/>
      <c r="O58" s="258"/>
    </row>
    <row r="59" spans="1:15" ht="14.15" customHeight="1" x14ac:dyDescent="0.3">
      <c r="A59" s="341" t="s">
        <v>137</v>
      </c>
      <c r="B59" s="385" t="s">
        <v>138</v>
      </c>
      <c r="C59" s="248" t="s">
        <v>108</v>
      </c>
      <c r="D59" s="1">
        <v>20</v>
      </c>
      <c r="E59" s="36">
        <f>35</f>
        <v>35</v>
      </c>
      <c r="F59" s="41">
        <v>0.2</v>
      </c>
      <c r="G59" s="348">
        <f>E59/(1-F59)</f>
        <v>43.75</v>
      </c>
      <c r="H59" s="348">
        <f>(65*3)</f>
        <v>195</v>
      </c>
      <c r="I59" s="83">
        <v>0.15</v>
      </c>
      <c r="J59" s="79">
        <f>H59*(1+I59)</f>
        <v>224.24999999999997</v>
      </c>
      <c r="K59" s="349">
        <f>J59*D59</f>
        <v>4484.9999999999991</v>
      </c>
      <c r="L59" s="350">
        <f>G59+J59</f>
        <v>268</v>
      </c>
      <c r="M59" s="351">
        <f>D59*L59</f>
        <v>5360</v>
      </c>
      <c r="N59" s="258"/>
      <c r="O59" s="258"/>
    </row>
    <row r="60" spans="1:15" ht="14.15" customHeight="1" x14ac:dyDescent="0.3">
      <c r="A60" s="341"/>
      <c r="B60" s="387"/>
      <c r="C60" s="96"/>
      <c r="D60" s="1"/>
      <c r="E60" s="36"/>
      <c r="F60" s="41"/>
      <c r="G60" s="348"/>
      <c r="H60" s="348"/>
      <c r="I60" s="79"/>
      <c r="J60" s="79"/>
      <c r="K60" s="349"/>
      <c r="L60" s="350"/>
      <c r="M60" s="351"/>
      <c r="N60" s="258"/>
      <c r="O60" s="258"/>
    </row>
    <row r="61" spans="1:15" ht="14.5" customHeight="1" thickBot="1" x14ac:dyDescent="0.35">
      <c r="A61" s="341" t="s">
        <v>139</v>
      </c>
      <c r="B61" s="385" t="s">
        <v>140</v>
      </c>
      <c r="C61" s="30" t="s">
        <v>42</v>
      </c>
      <c r="D61" s="1">
        <v>1</v>
      </c>
      <c r="E61" s="36">
        <v>1</v>
      </c>
      <c r="F61" s="41">
        <v>0.2</v>
      </c>
      <c r="G61" s="348">
        <f>E61/(1-F61)</f>
        <v>1.25</v>
      </c>
      <c r="H61" s="348">
        <f>2500*3</f>
        <v>7500</v>
      </c>
      <c r="I61" s="83">
        <v>0.15</v>
      </c>
      <c r="J61" s="79">
        <f>H61*(1+I61)</f>
        <v>8625</v>
      </c>
      <c r="K61" s="349">
        <f>J61*D61</f>
        <v>8625</v>
      </c>
      <c r="L61" s="350">
        <f>G61+J61</f>
        <v>8626.25</v>
      </c>
      <c r="M61" s="351">
        <f>D61*L61</f>
        <v>8626.25</v>
      </c>
      <c r="N61" s="258"/>
      <c r="O61" s="258"/>
    </row>
    <row r="62" spans="1:15" ht="14.5" customHeight="1" thickBot="1" x14ac:dyDescent="0.35">
      <c r="A62" s="354"/>
      <c r="B62" s="355"/>
      <c r="C62" s="97"/>
      <c r="D62" s="72"/>
      <c r="E62" s="73"/>
      <c r="F62" s="74"/>
      <c r="G62" s="356"/>
      <c r="H62" s="356"/>
      <c r="I62" s="73"/>
      <c r="J62" s="73"/>
      <c r="K62" s="357"/>
      <c r="L62" s="358"/>
      <c r="M62" s="358"/>
      <c r="N62" s="258"/>
      <c r="O62" s="258"/>
    </row>
    <row r="63" spans="1:15" ht="14.15" customHeight="1" x14ac:dyDescent="0.3">
      <c r="A63" s="389">
        <v>2.1</v>
      </c>
      <c r="B63" s="390"/>
      <c r="C63" s="251"/>
      <c r="D63" s="65" t="s">
        <v>141</v>
      </c>
      <c r="E63" s="53"/>
      <c r="F63" s="54"/>
      <c r="G63" s="391"/>
      <c r="H63" s="391"/>
      <c r="I63" s="53"/>
      <c r="J63" s="53"/>
      <c r="K63" s="392"/>
      <c r="L63" s="393"/>
      <c r="M63" s="393"/>
      <c r="N63" s="258"/>
      <c r="O63" s="258"/>
    </row>
    <row r="64" spans="1:15" ht="28" customHeight="1" x14ac:dyDescent="0.3">
      <c r="A64" s="370" t="s">
        <v>142</v>
      </c>
      <c r="B64" s="368" t="s">
        <v>143</v>
      </c>
      <c r="C64" s="7" t="s">
        <v>90</v>
      </c>
      <c r="D64" s="7">
        <v>3</v>
      </c>
      <c r="E64" s="37">
        <v>10000</v>
      </c>
      <c r="F64" s="41">
        <v>0.16</v>
      </c>
      <c r="G64" s="348">
        <f>E64/(1-F64)</f>
        <v>11904.761904761905</v>
      </c>
      <c r="H64" s="371">
        <v>200</v>
      </c>
      <c r="I64" s="83">
        <v>0.15</v>
      </c>
      <c r="J64" s="79">
        <f>H64*(1+I64)</f>
        <v>229.99999999999997</v>
      </c>
      <c r="K64" s="349">
        <f>J64*D64</f>
        <v>689.99999999999989</v>
      </c>
      <c r="L64" s="350">
        <f>G64+J64</f>
        <v>12134.761904761905</v>
      </c>
      <c r="M64" s="351">
        <f>D64*L64</f>
        <v>36404.28571428571</v>
      </c>
      <c r="N64" s="258"/>
      <c r="O64" s="258"/>
    </row>
    <row r="65" spans="1:15" ht="14.15" customHeight="1" x14ac:dyDescent="0.3">
      <c r="A65" s="394"/>
      <c r="B65" s="395"/>
      <c r="C65" s="248"/>
      <c r="D65" s="248"/>
      <c r="E65" s="36"/>
      <c r="F65" s="41"/>
      <c r="G65" s="348"/>
      <c r="H65" s="348"/>
      <c r="I65" s="79"/>
      <c r="J65" s="79"/>
      <c r="K65" s="349"/>
      <c r="L65" s="350"/>
      <c r="M65" s="351"/>
      <c r="N65" s="258"/>
      <c r="O65" s="258"/>
    </row>
    <row r="66" spans="1:15" ht="28.5" customHeight="1" thickBot="1" x14ac:dyDescent="0.35">
      <c r="A66" s="396" t="s">
        <v>144</v>
      </c>
      <c r="B66" s="375" t="s">
        <v>145</v>
      </c>
      <c r="C66" s="68" t="s">
        <v>90</v>
      </c>
      <c r="D66" s="68">
        <v>0</v>
      </c>
      <c r="E66" s="69">
        <v>7500</v>
      </c>
      <c r="F66" s="52">
        <v>0.16</v>
      </c>
      <c r="G66" s="376">
        <f>E66/(1-F66)</f>
        <v>8928.5714285714294</v>
      </c>
      <c r="H66" s="377">
        <v>200</v>
      </c>
      <c r="I66" s="83">
        <v>0.15</v>
      </c>
      <c r="J66" s="79">
        <f>H66*(1+I66)</f>
        <v>229.99999999999997</v>
      </c>
      <c r="K66" s="382">
        <f>J66*D66</f>
        <v>0</v>
      </c>
      <c r="L66" s="350">
        <f>G66+J66</f>
        <v>9158.5714285714294</v>
      </c>
      <c r="M66" s="378">
        <f>D66*L66</f>
        <v>0</v>
      </c>
      <c r="N66" s="258"/>
      <c r="O66" s="258"/>
    </row>
    <row r="67" spans="1:15" ht="14.5" customHeight="1" thickBot="1" x14ac:dyDescent="0.35">
      <c r="A67" s="397"/>
      <c r="B67" s="398"/>
      <c r="C67" s="97"/>
      <c r="D67" s="72"/>
      <c r="E67" s="73"/>
      <c r="F67" s="74"/>
      <c r="G67" s="356"/>
      <c r="H67" s="356"/>
      <c r="I67" s="73"/>
      <c r="J67" s="73"/>
      <c r="K67" s="357"/>
      <c r="L67" s="358"/>
      <c r="M67" s="358"/>
      <c r="N67" s="258"/>
      <c r="O67" s="258"/>
    </row>
    <row r="68" spans="1:15" ht="14.15" customHeight="1" x14ac:dyDescent="0.3">
      <c r="A68" s="359">
        <v>2.11</v>
      </c>
      <c r="B68" s="399"/>
      <c r="C68" s="100"/>
      <c r="D68" s="58" t="s">
        <v>146</v>
      </c>
      <c r="E68" s="56"/>
      <c r="F68" s="57"/>
      <c r="G68" s="361"/>
      <c r="H68" s="361"/>
      <c r="I68" s="56"/>
      <c r="J68" s="56"/>
      <c r="K68" s="362"/>
      <c r="L68" s="363"/>
      <c r="M68" s="363"/>
      <c r="N68" s="258"/>
      <c r="O68" s="258"/>
    </row>
    <row r="69" spans="1:15" ht="14.15" customHeight="1" x14ac:dyDescent="0.3">
      <c r="A69" s="341"/>
      <c r="B69" s="368"/>
      <c r="C69" s="104"/>
      <c r="D69" s="1"/>
      <c r="E69" s="36"/>
      <c r="F69" s="41"/>
      <c r="G69" s="348"/>
      <c r="H69" s="348"/>
      <c r="I69" s="79"/>
      <c r="J69" s="79"/>
      <c r="K69" s="349"/>
      <c r="L69" s="350"/>
      <c r="M69" s="351"/>
      <c r="N69" s="258"/>
      <c r="O69" s="258"/>
    </row>
    <row r="70" spans="1:15" ht="14.15" customHeight="1" x14ac:dyDescent="0.3">
      <c r="A70" s="341"/>
      <c r="B70" s="373" t="s">
        <v>147</v>
      </c>
      <c r="C70" s="103"/>
      <c r="D70" s="1"/>
      <c r="E70" s="36"/>
      <c r="F70" s="41"/>
      <c r="G70" s="348"/>
      <c r="H70" s="348"/>
      <c r="I70" s="79"/>
      <c r="J70" s="79"/>
      <c r="K70" s="349"/>
      <c r="L70" s="350"/>
      <c r="M70" s="351"/>
      <c r="N70" s="258"/>
      <c r="O70" s="258"/>
    </row>
    <row r="71" spans="1:15" ht="14.15" customHeight="1" x14ac:dyDescent="0.3">
      <c r="A71" s="341"/>
      <c r="B71" s="386"/>
      <c r="C71" s="103"/>
      <c r="D71" s="1"/>
      <c r="E71" s="36"/>
      <c r="F71" s="41"/>
      <c r="G71" s="348"/>
      <c r="H71" s="348"/>
      <c r="I71" s="79"/>
      <c r="J71" s="79"/>
      <c r="K71" s="349"/>
      <c r="L71" s="350"/>
      <c r="M71" s="351"/>
      <c r="N71" s="258"/>
      <c r="O71" s="258"/>
    </row>
    <row r="72" spans="1:15" ht="42" customHeight="1" x14ac:dyDescent="0.3">
      <c r="A72" s="341"/>
      <c r="B72" s="386" t="s">
        <v>148</v>
      </c>
      <c r="C72" s="103"/>
      <c r="D72" s="248"/>
      <c r="E72" s="36"/>
      <c r="F72" s="41"/>
      <c r="G72" s="348"/>
      <c r="H72" s="348"/>
      <c r="I72" s="79"/>
      <c r="J72" s="79"/>
      <c r="K72" s="349"/>
      <c r="L72" s="350"/>
      <c r="M72" s="351"/>
      <c r="N72" s="258"/>
      <c r="O72" s="258"/>
    </row>
    <row r="73" spans="1:15" ht="14.15" customHeight="1" x14ac:dyDescent="0.3">
      <c r="A73" s="384"/>
      <c r="B73" s="373"/>
      <c r="C73" s="103"/>
      <c r="D73" s="28"/>
      <c r="E73" s="38"/>
      <c r="F73" s="41"/>
      <c r="G73" s="348"/>
      <c r="H73" s="400"/>
      <c r="I73" s="81"/>
      <c r="J73" s="81"/>
      <c r="K73" s="349"/>
      <c r="L73" s="350"/>
      <c r="M73" s="351"/>
      <c r="N73" s="258"/>
      <c r="O73" s="258"/>
    </row>
    <row r="74" spans="1:15" ht="14.15" customHeight="1" x14ac:dyDescent="0.3">
      <c r="A74" s="341" t="s">
        <v>149</v>
      </c>
      <c r="B74" s="373" t="s">
        <v>150</v>
      </c>
      <c r="C74" s="103" t="s">
        <v>108</v>
      </c>
      <c r="D74" s="1">
        <v>12</v>
      </c>
      <c r="E74" s="36">
        <v>947.75</v>
      </c>
      <c r="F74" s="41">
        <v>0.25</v>
      </c>
      <c r="G74" s="348">
        <f t="shared" ref="G74:G79" si="0">E74/(1-F74)</f>
        <v>1263.6666666666667</v>
      </c>
      <c r="H74" s="348">
        <v>25</v>
      </c>
      <c r="I74" s="83">
        <v>0.15</v>
      </c>
      <c r="J74" s="79">
        <f t="shared" ref="J74:J79" si="1">H74*(1+I74)</f>
        <v>28.749999999999996</v>
      </c>
      <c r="K74" s="349">
        <f t="shared" ref="K74:K79" si="2">J74*D74</f>
        <v>344.99999999999994</v>
      </c>
      <c r="L74" s="350">
        <f t="shared" ref="L74:L79" si="3">G74+J74</f>
        <v>1292.4166666666667</v>
      </c>
      <c r="M74" s="351">
        <f t="shared" ref="M74:M79" si="4">D74*L74</f>
        <v>15509</v>
      </c>
      <c r="N74" s="258"/>
      <c r="O74" s="258"/>
    </row>
    <row r="75" spans="1:15" ht="14.15" customHeight="1" x14ac:dyDescent="0.3">
      <c r="A75" s="341" t="s">
        <v>151</v>
      </c>
      <c r="B75" s="373" t="s">
        <v>152</v>
      </c>
      <c r="C75" s="103" t="s">
        <v>108</v>
      </c>
      <c r="D75" s="1">
        <v>0</v>
      </c>
      <c r="E75" s="36">
        <v>686.12</v>
      </c>
      <c r="F75" s="41">
        <v>0.25</v>
      </c>
      <c r="G75" s="348">
        <f t="shared" si="0"/>
        <v>914.82666666666671</v>
      </c>
      <c r="H75" s="348">
        <v>25</v>
      </c>
      <c r="I75" s="83">
        <v>0.15</v>
      </c>
      <c r="J75" s="79">
        <f t="shared" si="1"/>
        <v>28.749999999999996</v>
      </c>
      <c r="K75" s="349">
        <f t="shared" si="2"/>
        <v>0</v>
      </c>
      <c r="L75" s="350">
        <f t="shared" si="3"/>
        <v>943.57666666666671</v>
      </c>
      <c r="M75" s="351">
        <f t="shared" si="4"/>
        <v>0</v>
      </c>
      <c r="N75" s="258"/>
      <c r="O75" s="258"/>
    </row>
    <row r="76" spans="1:15" ht="14.15" customHeight="1" x14ac:dyDescent="0.3">
      <c r="A76" s="341" t="s">
        <v>153</v>
      </c>
      <c r="B76" s="373" t="s">
        <v>154</v>
      </c>
      <c r="C76" s="103" t="s">
        <v>108</v>
      </c>
      <c r="D76" s="1">
        <v>0</v>
      </c>
      <c r="E76" s="36">
        <v>634</v>
      </c>
      <c r="F76" s="41">
        <v>0.25</v>
      </c>
      <c r="G76" s="348">
        <f t="shared" si="0"/>
        <v>845.33333333333337</v>
      </c>
      <c r="H76" s="348">
        <v>25</v>
      </c>
      <c r="I76" s="83">
        <v>0.15</v>
      </c>
      <c r="J76" s="79">
        <f t="shared" si="1"/>
        <v>28.749999999999996</v>
      </c>
      <c r="K76" s="349">
        <f t="shared" si="2"/>
        <v>0</v>
      </c>
      <c r="L76" s="350">
        <f t="shared" si="3"/>
        <v>874.08333333333337</v>
      </c>
      <c r="M76" s="351">
        <f t="shared" si="4"/>
        <v>0</v>
      </c>
      <c r="N76" s="258"/>
      <c r="O76" s="258"/>
    </row>
    <row r="77" spans="1:15" ht="14.15" customHeight="1" x14ac:dyDescent="0.3">
      <c r="A77" s="341" t="s">
        <v>155</v>
      </c>
      <c r="B77" s="373" t="s">
        <v>156</v>
      </c>
      <c r="C77" s="96" t="s">
        <v>108</v>
      </c>
      <c r="D77" s="1">
        <v>0</v>
      </c>
      <c r="E77" s="36">
        <v>450</v>
      </c>
      <c r="F77" s="41">
        <v>0.25</v>
      </c>
      <c r="G77" s="348">
        <f t="shared" si="0"/>
        <v>600</v>
      </c>
      <c r="H77" s="348">
        <v>25</v>
      </c>
      <c r="I77" s="83">
        <v>0.15</v>
      </c>
      <c r="J77" s="79">
        <f t="shared" si="1"/>
        <v>28.749999999999996</v>
      </c>
      <c r="K77" s="349">
        <f t="shared" si="2"/>
        <v>0</v>
      </c>
      <c r="L77" s="350">
        <f t="shared" si="3"/>
        <v>628.75</v>
      </c>
      <c r="M77" s="351">
        <f t="shared" si="4"/>
        <v>0</v>
      </c>
      <c r="N77" s="258"/>
      <c r="O77" s="258"/>
    </row>
    <row r="78" spans="1:15" ht="14.15" customHeight="1" x14ac:dyDescent="0.3">
      <c r="A78" s="341" t="s">
        <v>157</v>
      </c>
      <c r="B78" s="373" t="s">
        <v>158</v>
      </c>
      <c r="C78" s="96" t="s">
        <v>108</v>
      </c>
      <c r="D78" s="1">
        <v>0</v>
      </c>
      <c r="E78" s="36">
        <v>380</v>
      </c>
      <c r="F78" s="41">
        <v>0.25</v>
      </c>
      <c r="G78" s="348">
        <f t="shared" si="0"/>
        <v>506.66666666666669</v>
      </c>
      <c r="H78" s="348">
        <v>25</v>
      </c>
      <c r="I78" s="83">
        <v>0.15</v>
      </c>
      <c r="J78" s="79">
        <f t="shared" si="1"/>
        <v>28.749999999999996</v>
      </c>
      <c r="K78" s="349">
        <f t="shared" si="2"/>
        <v>0</v>
      </c>
      <c r="L78" s="350">
        <f t="shared" si="3"/>
        <v>535.41666666666663</v>
      </c>
      <c r="M78" s="351">
        <f t="shared" si="4"/>
        <v>0</v>
      </c>
      <c r="N78" s="258"/>
      <c r="O78" s="258"/>
    </row>
    <row r="79" spans="1:15" ht="14.5" customHeight="1" thickBot="1" x14ac:dyDescent="0.35">
      <c r="A79" s="381" t="s">
        <v>159</v>
      </c>
      <c r="B79" s="375" t="s">
        <v>160</v>
      </c>
      <c r="C79" s="99" t="s">
        <v>108</v>
      </c>
      <c r="D79" s="50">
        <v>0</v>
      </c>
      <c r="E79" s="51">
        <f>215</f>
        <v>215</v>
      </c>
      <c r="F79" s="52">
        <v>0.25</v>
      </c>
      <c r="G79" s="376">
        <f t="shared" si="0"/>
        <v>286.66666666666669</v>
      </c>
      <c r="H79" s="376">
        <v>25</v>
      </c>
      <c r="I79" s="83">
        <v>0.15</v>
      </c>
      <c r="J79" s="79">
        <f t="shared" si="1"/>
        <v>28.749999999999996</v>
      </c>
      <c r="K79" s="349">
        <f t="shared" si="2"/>
        <v>0</v>
      </c>
      <c r="L79" s="350">
        <f t="shared" si="3"/>
        <v>315.41666666666669</v>
      </c>
      <c r="M79" s="378">
        <f t="shared" si="4"/>
        <v>0</v>
      </c>
      <c r="N79" s="258"/>
      <c r="O79" s="258"/>
    </row>
    <row r="80" spans="1:15" ht="14.5" customHeight="1" thickBot="1" x14ac:dyDescent="0.35">
      <c r="A80" s="397"/>
      <c r="B80" s="398"/>
      <c r="C80" s="97"/>
      <c r="D80" s="72"/>
      <c r="E80" s="73"/>
      <c r="F80" s="74"/>
      <c r="G80" s="356"/>
      <c r="H80" s="356"/>
      <c r="I80" s="73"/>
      <c r="J80" s="73"/>
      <c r="K80" s="357"/>
      <c r="L80" s="358"/>
      <c r="M80" s="358"/>
      <c r="N80" s="258"/>
      <c r="O80" s="258"/>
    </row>
    <row r="81" spans="1:15" ht="14.15" customHeight="1" x14ac:dyDescent="0.3">
      <c r="A81" s="359">
        <v>2.12</v>
      </c>
      <c r="B81" s="399"/>
      <c r="C81" s="100"/>
      <c r="D81" s="58" t="s">
        <v>161</v>
      </c>
      <c r="E81" s="56"/>
      <c r="F81" s="57"/>
      <c r="G81" s="361"/>
      <c r="H81" s="361"/>
      <c r="I81" s="56"/>
      <c r="J81" s="56"/>
      <c r="K81" s="362"/>
      <c r="L81" s="363"/>
      <c r="M81" s="363"/>
      <c r="N81" s="258"/>
      <c r="O81" s="258"/>
    </row>
    <row r="82" spans="1:15" ht="14.15" customHeight="1" x14ac:dyDescent="0.3">
      <c r="A82" s="341"/>
      <c r="B82" s="368"/>
      <c r="C82" s="96"/>
      <c r="D82" s="1"/>
      <c r="E82" s="36"/>
      <c r="F82" s="41"/>
      <c r="G82" s="348"/>
      <c r="H82" s="348"/>
      <c r="I82" s="79"/>
      <c r="J82" s="79"/>
      <c r="K82" s="349"/>
      <c r="L82" s="350"/>
      <c r="M82" s="351"/>
      <c r="N82" s="258"/>
      <c r="O82" s="258"/>
    </row>
    <row r="83" spans="1:15" ht="14.15" customHeight="1" x14ac:dyDescent="0.3">
      <c r="A83" s="341" t="s">
        <v>162</v>
      </c>
      <c r="B83" s="373" t="s">
        <v>163</v>
      </c>
      <c r="C83" s="96" t="s">
        <v>108</v>
      </c>
      <c r="D83" s="1">
        <v>8</v>
      </c>
      <c r="E83" s="36">
        <v>200</v>
      </c>
      <c r="F83" s="41">
        <v>0.2</v>
      </c>
      <c r="G83" s="348">
        <f>E83/(1-F83)</f>
        <v>250</v>
      </c>
      <c r="H83" s="348">
        <v>50</v>
      </c>
      <c r="I83" s="83">
        <v>0.15</v>
      </c>
      <c r="J83" s="79">
        <f>H83*(1+I83)</f>
        <v>57.499999999999993</v>
      </c>
      <c r="K83" s="349">
        <f>J83*D83</f>
        <v>459.99999999999994</v>
      </c>
      <c r="L83" s="350">
        <f>G83+J83</f>
        <v>307.5</v>
      </c>
      <c r="M83" s="351">
        <f>D83*L83</f>
        <v>2460</v>
      </c>
      <c r="N83" s="258"/>
      <c r="O83" s="258"/>
    </row>
    <row r="84" spans="1:15" ht="14.15" customHeight="1" x14ac:dyDescent="0.3">
      <c r="A84" s="341"/>
      <c r="B84" s="373" t="s">
        <v>164</v>
      </c>
      <c r="C84" s="96" t="s">
        <v>108</v>
      </c>
      <c r="D84" s="1">
        <v>0</v>
      </c>
      <c r="E84" s="36">
        <v>70.599999999999994</v>
      </c>
      <c r="F84" s="41">
        <v>0.2</v>
      </c>
      <c r="G84" s="348">
        <f>E84/(1-F84)</f>
        <v>88.249999999999986</v>
      </c>
      <c r="H84" s="348">
        <v>50</v>
      </c>
      <c r="I84" s="83">
        <v>0.15</v>
      </c>
      <c r="J84" s="79">
        <f>H84*(1+I84)</f>
        <v>57.499999999999993</v>
      </c>
      <c r="K84" s="349">
        <f>J84*D84</f>
        <v>0</v>
      </c>
      <c r="L84" s="350">
        <f>G84+J84</f>
        <v>145.74999999999997</v>
      </c>
      <c r="M84" s="351">
        <f>D84*L84</f>
        <v>0</v>
      </c>
      <c r="N84" s="258"/>
      <c r="O84" s="258"/>
    </row>
    <row r="85" spans="1:15" ht="14.5" customHeight="1" thickBot="1" x14ac:dyDescent="0.35">
      <c r="A85" s="381"/>
      <c r="B85" s="375" t="s">
        <v>165</v>
      </c>
      <c r="C85" s="99" t="s">
        <v>108</v>
      </c>
      <c r="D85" s="50">
        <v>0</v>
      </c>
      <c r="E85" s="51">
        <v>22.91</v>
      </c>
      <c r="F85" s="52">
        <v>0.2</v>
      </c>
      <c r="G85" s="376">
        <f>E85/(1-F85)</f>
        <v>28.637499999999999</v>
      </c>
      <c r="H85" s="376">
        <v>50</v>
      </c>
      <c r="I85" s="83">
        <v>0.15</v>
      </c>
      <c r="J85" s="79">
        <f>H85*(1+I85)</f>
        <v>57.499999999999993</v>
      </c>
      <c r="K85" s="349">
        <f>J85*D85</f>
        <v>0</v>
      </c>
      <c r="L85" s="350">
        <f>G85+J85</f>
        <v>86.137499999999989</v>
      </c>
      <c r="M85" s="378">
        <f>D85*L85</f>
        <v>0</v>
      </c>
      <c r="N85" s="258"/>
      <c r="O85" s="258"/>
    </row>
    <row r="86" spans="1:15" ht="14.5" customHeight="1" thickBot="1" x14ac:dyDescent="0.35">
      <c r="A86" s="397"/>
      <c r="B86" s="398"/>
      <c r="C86" s="97"/>
      <c r="D86" s="72"/>
      <c r="E86" s="73"/>
      <c r="F86" s="74"/>
      <c r="G86" s="356"/>
      <c r="H86" s="356"/>
      <c r="I86" s="73"/>
      <c r="J86" s="73"/>
      <c r="K86" s="357"/>
      <c r="L86" s="358"/>
      <c r="M86" s="358"/>
      <c r="N86" s="258"/>
      <c r="O86" s="258"/>
    </row>
    <row r="87" spans="1:15" ht="14.15" customHeight="1" x14ac:dyDescent="0.3">
      <c r="A87" s="359">
        <v>2.13</v>
      </c>
      <c r="B87" s="399"/>
      <c r="C87" s="100"/>
      <c r="D87" s="58" t="s">
        <v>166</v>
      </c>
      <c r="E87" s="56"/>
      <c r="F87" s="57"/>
      <c r="G87" s="361"/>
      <c r="H87" s="361"/>
      <c r="I87" s="56"/>
      <c r="J87" s="56"/>
      <c r="K87" s="362"/>
      <c r="L87" s="363"/>
      <c r="M87" s="363"/>
      <c r="N87" s="258"/>
      <c r="O87" s="258"/>
    </row>
    <row r="88" spans="1:15" ht="14.15" customHeight="1" x14ac:dyDescent="0.3">
      <c r="A88" s="341"/>
      <c r="B88" s="368"/>
      <c r="C88" s="96"/>
      <c r="D88" s="1"/>
      <c r="E88" s="36"/>
      <c r="F88" s="41"/>
      <c r="G88" s="348"/>
      <c r="H88" s="348"/>
      <c r="I88" s="79"/>
      <c r="J88" s="79"/>
      <c r="K88" s="349"/>
      <c r="L88" s="350"/>
      <c r="M88" s="351"/>
      <c r="N88" s="258"/>
      <c r="O88" s="258"/>
    </row>
    <row r="89" spans="1:15" ht="14.15" customHeight="1" x14ac:dyDescent="0.3">
      <c r="A89" s="341" t="s">
        <v>167</v>
      </c>
      <c r="B89" s="373" t="s">
        <v>168</v>
      </c>
      <c r="C89" s="96" t="s">
        <v>108</v>
      </c>
      <c r="D89" s="1">
        <v>0</v>
      </c>
      <c r="E89" s="36">
        <v>25</v>
      </c>
      <c r="F89" s="41">
        <v>0.2</v>
      </c>
      <c r="G89" s="348">
        <f>E89/(1-F89)</f>
        <v>31.25</v>
      </c>
      <c r="H89" s="348"/>
      <c r="I89" s="83">
        <v>0.15</v>
      </c>
      <c r="J89" s="79">
        <f>H89*(1+I89)</f>
        <v>0</v>
      </c>
      <c r="K89" s="349">
        <f>J89*D89</f>
        <v>0</v>
      </c>
      <c r="L89" s="350">
        <f>G89+J89</f>
        <v>31.25</v>
      </c>
      <c r="M89" s="351">
        <f>D89*L89</f>
        <v>0</v>
      </c>
      <c r="N89" s="258"/>
      <c r="O89" s="258"/>
    </row>
    <row r="90" spans="1:15" ht="14.15" customHeight="1" x14ac:dyDescent="0.3">
      <c r="A90" s="341" t="s">
        <v>169</v>
      </c>
      <c r="B90" s="373" t="s">
        <v>170</v>
      </c>
      <c r="C90" s="96" t="s">
        <v>108</v>
      </c>
      <c r="D90" s="1">
        <v>0</v>
      </c>
      <c r="E90" s="36">
        <v>33</v>
      </c>
      <c r="F90" s="41">
        <v>0.2</v>
      </c>
      <c r="G90" s="348">
        <f>E90/(1-F90)</f>
        <v>41.25</v>
      </c>
      <c r="H90" s="348"/>
      <c r="I90" s="83">
        <v>0.15</v>
      </c>
      <c r="J90" s="79">
        <f>H90*(1+I90)</f>
        <v>0</v>
      </c>
      <c r="K90" s="349">
        <f>J90*D90</f>
        <v>0</v>
      </c>
      <c r="L90" s="350">
        <f>G90+J90</f>
        <v>41.25</v>
      </c>
      <c r="M90" s="351">
        <f>D90*L90</f>
        <v>0</v>
      </c>
      <c r="N90" s="258"/>
      <c r="O90" s="258"/>
    </row>
    <row r="91" spans="1:15" ht="14.5" customHeight="1" thickBot="1" x14ac:dyDescent="0.35">
      <c r="A91" s="341" t="s">
        <v>171</v>
      </c>
      <c r="B91" s="401" t="s">
        <v>172</v>
      </c>
      <c r="C91" s="96" t="s">
        <v>108</v>
      </c>
      <c r="D91" s="1">
        <v>0</v>
      </c>
      <c r="E91" s="36">
        <v>37</v>
      </c>
      <c r="F91" s="41">
        <v>0.2</v>
      </c>
      <c r="G91" s="348">
        <f>E91/(1-F91)</f>
        <v>46.25</v>
      </c>
      <c r="H91" s="348"/>
      <c r="I91" s="83">
        <v>0.15</v>
      </c>
      <c r="J91" s="79">
        <f>H91*(1+I91)</f>
        <v>0</v>
      </c>
      <c r="K91" s="349">
        <f>J91*D91</f>
        <v>0</v>
      </c>
      <c r="L91" s="350">
        <f>G91+J91</f>
        <v>46.25</v>
      </c>
      <c r="M91" s="351">
        <f>D91*L91</f>
        <v>0</v>
      </c>
      <c r="N91" s="258"/>
      <c r="O91" s="258"/>
    </row>
    <row r="92" spans="1:15" ht="14.5" customHeight="1" thickBot="1" x14ac:dyDescent="0.35">
      <c r="A92" s="397"/>
      <c r="B92" s="398"/>
      <c r="C92" s="97"/>
      <c r="D92" s="72"/>
      <c r="E92" s="73"/>
      <c r="F92" s="74"/>
      <c r="G92" s="356"/>
      <c r="H92" s="356"/>
      <c r="I92" s="73"/>
      <c r="J92" s="73"/>
      <c r="K92" s="357"/>
      <c r="L92" s="358"/>
      <c r="M92" s="358"/>
      <c r="N92" s="258"/>
      <c r="O92" s="258"/>
    </row>
    <row r="93" spans="1:15" s="297" customFormat="1" ht="14.15" customHeight="1" x14ac:dyDescent="0.3">
      <c r="A93" s="402">
        <v>2.14</v>
      </c>
      <c r="B93" s="403"/>
      <c r="C93" s="98"/>
      <c r="D93" s="65" t="s">
        <v>173</v>
      </c>
      <c r="E93" s="53"/>
      <c r="F93" s="54"/>
      <c r="G93" s="391"/>
      <c r="H93" s="391"/>
      <c r="I93" s="53"/>
      <c r="J93" s="53"/>
      <c r="K93" s="392"/>
      <c r="L93" s="393"/>
      <c r="M93" s="393"/>
      <c r="N93" s="258"/>
      <c r="O93" s="258"/>
    </row>
    <row r="94" spans="1:15" s="297" customFormat="1" ht="14.15" customHeight="1" x14ac:dyDescent="0.3">
      <c r="A94" s="341"/>
      <c r="B94" s="368"/>
      <c r="C94" s="96"/>
      <c r="D94" s="1"/>
      <c r="E94" s="36"/>
      <c r="F94" s="41"/>
      <c r="G94" s="348"/>
      <c r="H94" s="348"/>
      <c r="I94" s="79"/>
      <c r="J94" s="79"/>
      <c r="K94" s="349"/>
      <c r="L94" s="350"/>
      <c r="M94" s="351"/>
      <c r="N94" s="258"/>
      <c r="O94" s="258"/>
    </row>
    <row r="95" spans="1:15" s="297" customFormat="1" ht="28" customHeight="1" x14ac:dyDescent="0.3">
      <c r="A95" s="341"/>
      <c r="B95" s="373" t="s">
        <v>174</v>
      </c>
      <c r="C95" s="96"/>
      <c r="D95" s="1"/>
      <c r="E95" s="36"/>
      <c r="F95" s="41"/>
      <c r="G95" s="348"/>
      <c r="H95" s="348"/>
      <c r="I95" s="79"/>
      <c r="J95" s="79"/>
      <c r="K95" s="349"/>
      <c r="L95" s="350"/>
      <c r="M95" s="351"/>
      <c r="N95" s="258"/>
      <c r="O95" s="258"/>
    </row>
    <row r="96" spans="1:15" s="297" customFormat="1" ht="14.15" customHeight="1" x14ac:dyDescent="0.3">
      <c r="A96" s="384"/>
      <c r="B96" s="373"/>
      <c r="C96" s="96"/>
      <c r="D96" s="1"/>
      <c r="E96" s="36"/>
      <c r="F96" s="41"/>
      <c r="G96" s="348"/>
      <c r="H96" s="348"/>
      <c r="I96" s="79"/>
      <c r="J96" s="79"/>
      <c r="K96" s="349"/>
      <c r="L96" s="350"/>
      <c r="M96" s="351"/>
      <c r="N96" s="258"/>
      <c r="O96" s="258"/>
    </row>
    <row r="97" spans="1:15" s="297" customFormat="1" ht="14.15" customHeight="1" x14ac:dyDescent="0.3">
      <c r="A97" s="341" t="s">
        <v>175</v>
      </c>
      <c r="B97" s="373" t="s">
        <v>150</v>
      </c>
      <c r="C97" s="96" t="s">
        <v>85</v>
      </c>
      <c r="D97" s="1">
        <v>6</v>
      </c>
      <c r="E97" s="36">
        <f>752.54*1.1</f>
        <v>827.79399999999998</v>
      </c>
      <c r="F97" s="41">
        <v>0.2</v>
      </c>
      <c r="G97" s="348">
        <f t="shared" ref="G97:G107" si="5">E97/(1-F97)</f>
        <v>1034.7424999999998</v>
      </c>
      <c r="H97" s="348">
        <f>(250+100)*1.5</f>
        <v>525</v>
      </c>
      <c r="I97" s="83">
        <v>0.15</v>
      </c>
      <c r="J97" s="79">
        <f t="shared" ref="J97:J107" si="6">H97*(1+I97)</f>
        <v>603.75</v>
      </c>
      <c r="K97" s="349">
        <f t="shared" ref="K97:K107" si="7">J97*D97</f>
        <v>3622.5</v>
      </c>
      <c r="L97" s="350">
        <f t="shared" ref="L97:L107" si="8">G97+J97</f>
        <v>1638.4924999999998</v>
      </c>
      <c r="M97" s="351">
        <f t="shared" ref="M97:M107" si="9">D97*L97</f>
        <v>9830.9549999999981</v>
      </c>
      <c r="N97" s="258"/>
      <c r="O97" s="258"/>
    </row>
    <row r="98" spans="1:15" s="297" customFormat="1" ht="14.15" customHeight="1" x14ac:dyDescent="0.3">
      <c r="A98" s="341" t="s">
        <v>176</v>
      </c>
      <c r="B98" s="373" t="s">
        <v>177</v>
      </c>
      <c r="C98" s="96" t="s">
        <v>85</v>
      </c>
      <c r="D98" s="1">
        <v>0</v>
      </c>
      <c r="E98" s="36">
        <f>350*1.1</f>
        <v>385.00000000000006</v>
      </c>
      <c r="F98" s="41">
        <v>0.2</v>
      </c>
      <c r="G98" s="348">
        <f t="shared" si="5"/>
        <v>481.25000000000006</v>
      </c>
      <c r="H98" s="348">
        <f>(250+100)*1.5</f>
        <v>525</v>
      </c>
      <c r="I98" s="83">
        <v>0.15</v>
      </c>
      <c r="J98" s="79">
        <f t="shared" si="6"/>
        <v>603.75</v>
      </c>
      <c r="K98" s="349">
        <f t="shared" si="7"/>
        <v>0</v>
      </c>
      <c r="L98" s="350">
        <f t="shared" si="8"/>
        <v>1085</v>
      </c>
      <c r="M98" s="351">
        <f t="shared" si="9"/>
        <v>0</v>
      </c>
      <c r="N98" s="258"/>
      <c r="O98" s="258"/>
    </row>
    <row r="99" spans="1:15" s="297" customFormat="1" ht="14.15" customHeight="1" x14ac:dyDescent="0.3">
      <c r="A99" s="341" t="s">
        <v>178</v>
      </c>
      <c r="B99" s="373" t="s">
        <v>152</v>
      </c>
      <c r="C99" s="96" t="s">
        <v>85</v>
      </c>
      <c r="D99" s="1">
        <v>0</v>
      </c>
      <c r="E99" s="36">
        <v>550</v>
      </c>
      <c r="F99" s="41">
        <v>0.2</v>
      </c>
      <c r="G99" s="348">
        <f t="shared" si="5"/>
        <v>687.5</v>
      </c>
      <c r="H99" s="348">
        <f>(250+100)*1.5</f>
        <v>525</v>
      </c>
      <c r="I99" s="83">
        <v>0.15</v>
      </c>
      <c r="J99" s="79">
        <f t="shared" si="6"/>
        <v>603.75</v>
      </c>
      <c r="K99" s="349">
        <f t="shared" si="7"/>
        <v>0</v>
      </c>
      <c r="L99" s="350">
        <f t="shared" si="8"/>
        <v>1291.25</v>
      </c>
      <c r="M99" s="351">
        <f t="shared" si="9"/>
        <v>0</v>
      </c>
      <c r="N99" s="258"/>
      <c r="O99" s="258"/>
    </row>
    <row r="100" spans="1:15" s="297" customFormat="1" ht="14.15" customHeight="1" x14ac:dyDescent="0.3">
      <c r="A100" s="341" t="s">
        <v>179</v>
      </c>
      <c r="B100" s="373" t="s">
        <v>154</v>
      </c>
      <c r="C100" s="96" t="s">
        <v>85</v>
      </c>
      <c r="D100" s="1">
        <v>0</v>
      </c>
      <c r="E100" s="36">
        <v>350</v>
      </c>
      <c r="F100" s="41">
        <v>0.2</v>
      </c>
      <c r="G100" s="348">
        <f t="shared" si="5"/>
        <v>437.5</v>
      </c>
      <c r="H100" s="348">
        <v>525</v>
      </c>
      <c r="I100" s="83">
        <v>0.15</v>
      </c>
      <c r="J100" s="79">
        <f t="shared" si="6"/>
        <v>603.75</v>
      </c>
      <c r="K100" s="349">
        <f t="shared" si="7"/>
        <v>0</v>
      </c>
      <c r="L100" s="350">
        <f t="shared" si="8"/>
        <v>1041.25</v>
      </c>
      <c r="M100" s="351">
        <f t="shared" si="9"/>
        <v>0</v>
      </c>
      <c r="N100" s="258"/>
      <c r="O100" s="258"/>
    </row>
    <row r="101" spans="1:15" s="297" customFormat="1" ht="14.5" customHeight="1" x14ac:dyDescent="0.3">
      <c r="A101" s="341" t="s">
        <v>180</v>
      </c>
      <c r="B101" s="373" t="s">
        <v>156</v>
      </c>
      <c r="C101" s="96" t="s">
        <v>85</v>
      </c>
      <c r="D101" s="1">
        <v>0</v>
      </c>
      <c r="E101" s="36"/>
      <c r="F101" s="41"/>
      <c r="G101" s="348">
        <f t="shared" si="5"/>
        <v>0</v>
      </c>
      <c r="H101" s="348">
        <v>525</v>
      </c>
      <c r="I101" s="83">
        <v>0.15</v>
      </c>
      <c r="J101" s="79">
        <f t="shared" si="6"/>
        <v>603.75</v>
      </c>
      <c r="K101" s="349">
        <f t="shared" si="7"/>
        <v>0</v>
      </c>
      <c r="L101" s="350">
        <f t="shared" si="8"/>
        <v>603.75</v>
      </c>
      <c r="M101" s="351">
        <f t="shared" si="9"/>
        <v>0</v>
      </c>
      <c r="N101" s="258"/>
      <c r="O101" s="258"/>
    </row>
    <row r="102" spans="1:15" s="297" customFormat="1" ht="14.15" customHeight="1" x14ac:dyDescent="0.3">
      <c r="A102" s="341" t="s">
        <v>181</v>
      </c>
      <c r="B102" s="373" t="s">
        <v>158</v>
      </c>
      <c r="C102" s="96" t="s">
        <v>85</v>
      </c>
      <c r="D102" s="1">
        <v>0</v>
      </c>
      <c r="E102" s="36">
        <v>350</v>
      </c>
      <c r="F102" s="41">
        <v>0.2</v>
      </c>
      <c r="G102" s="348">
        <f t="shared" si="5"/>
        <v>437.5</v>
      </c>
      <c r="H102" s="348">
        <v>525</v>
      </c>
      <c r="I102" s="83">
        <v>0.15</v>
      </c>
      <c r="J102" s="79">
        <f t="shared" si="6"/>
        <v>603.75</v>
      </c>
      <c r="K102" s="349">
        <f t="shared" si="7"/>
        <v>0</v>
      </c>
      <c r="L102" s="350">
        <f t="shared" si="8"/>
        <v>1041.25</v>
      </c>
      <c r="M102" s="351">
        <f t="shared" si="9"/>
        <v>0</v>
      </c>
      <c r="N102" s="258"/>
      <c r="O102" s="258"/>
    </row>
    <row r="103" spans="1:15" s="297" customFormat="1" ht="14.15" customHeight="1" x14ac:dyDescent="0.3">
      <c r="A103" s="341" t="s">
        <v>182</v>
      </c>
      <c r="B103" s="373" t="s">
        <v>160</v>
      </c>
      <c r="C103" s="96" t="s">
        <v>85</v>
      </c>
      <c r="D103" s="1">
        <v>0</v>
      </c>
      <c r="E103" s="36">
        <v>350</v>
      </c>
      <c r="F103" s="41">
        <v>0.2</v>
      </c>
      <c r="G103" s="348">
        <f t="shared" si="5"/>
        <v>437.5</v>
      </c>
      <c r="H103" s="348">
        <v>525</v>
      </c>
      <c r="I103" s="83">
        <v>0.15</v>
      </c>
      <c r="J103" s="79">
        <f t="shared" si="6"/>
        <v>603.75</v>
      </c>
      <c r="K103" s="349">
        <f t="shared" si="7"/>
        <v>0</v>
      </c>
      <c r="L103" s="350">
        <f t="shared" si="8"/>
        <v>1041.25</v>
      </c>
      <c r="M103" s="351">
        <f t="shared" si="9"/>
        <v>0</v>
      </c>
      <c r="N103" s="258"/>
      <c r="O103" s="258"/>
    </row>
    <row r="104" spans="1:15" s="297" customFormat="1" ht="14.15" customHeight="1" x14ac:dyDescent="0.3">
      <c r="A104" s="341" t="s">
        <v>183</v>
      </c>
      <c r="B104" s="373" t="s">
        <v>184</v>
      </c>
      <c r="C104" s="96" t="s">
        <v>85</v>
      </c>
      <c r="D104" s="1">
        <v>4</v>
      </c>
      <c r="E104" s="36">
        <v>350</v>
      </c>
      <c r="F104" s="41">
        <v>0.2</v>
      </c>
      <c r="G104" s="348">
        <f t="shared" si="5"/>
        <v>437.5</v>
      </c>
      <c r="H104" s="348">
        <v>525</v>
      </c>
      <c r="I104" s="83">
        <v>0.15</v>
      </c>
      <c r="J104" s="79">
        <f t="shared" si="6"/>
        <v>603.75</v>
      </c>
      <c r="K104" s="349">
        <f t="shared" si="7"/>
        <v>2415</v>
      </c>
      <c r="L104" s="350">
        <f t="shared" si="8"/>
        <v>1041.25</v>
      </c>
      <c r="M104" s="351">
        <f t="shared" si="9"/>
        <v>4165</v>
      </c>
      <c r="N104" s="258"/>
      <c r="O104" s="258"/>
    </row>
    <row r="105" spans="1:15" s="297" customFormat="1" ht="14.15" customHeight="1" x14ac:dyDescent="0.3">
      <c r="A105" s="341" t="s">
        <v>185</v>
      </c>
      <c r="B105" s="373" t="s">
        <v>186</v>
      </c>
      <c r="C105" s="96" t="s">
        <v>85</v>
      </c>
      <c r="D105" s="1">
        <v>0</v>
      </c>
      <c r="E105" s="36">
        <v>250</v>
      </c>
      <c r="F105" s="41">
        <v>0.2</v>
      </c>
      <c r="G105" s="348">
        <f t="shared" si="5"/>
        <v>312.5</v>
      </c>
      <c r="H105" s="348">
        <v>525</v>
      </c>
      <c r="I105" s="83">
        <v>0.15</v>
      </c>
      <c r="J105" s="79">
        <f t="shared" si="6"/>
        <v>603.75</v>
      </c>
      <c r="K105" s="349">
        <f t="shared" si="7"/>
        <v>0</v>
      </c>
      <c r="L105" s="350">
        <f t="shared" si="8"/>
        <v>916.25</v>
      </c>
      <c r="M105" s="351">
        <f t="shared" si="9"/>
        <v>0</v>
      </c>
      <c r="N105" s="258"/>
      <c r="O105" s="258"/>
    </row>
    <row r="106" spans="1:15" s="297" customFormat="1" ht="14.15" customHeight="1" x14ac:dyDescent="0.3">
      <c r="A106" s="341" t="s">
        <v>187</v>
      </c>
      <c r="B106" s="373" t="s">
        <v>188</v>
      </c>
      <c r="C106" s="96" t="s">
        <v>85</v>
      </c>
      <c r="D106" s="1">
        <v>0</v>
      </c>
      <c r="E106" s="36">
        <v>500</v>
      </c>
      <c r="F106" s="41">
        <v>0.2</v>
      </c>
      <c r="G106" s="348">
        <f t="shared" si="5"/>
        <v>625</v>
      </c>
      <c r="H106" s="348">
        <v>525</v>
      </c>
      <c r="I106" s="83">
        <v>0.15</v>
      </c>
      <c r="J106" s="79">
        <f t="shared" si="6"/>
        <v>603.75</v>
      </c>
      <c r="K106" s="349">
        <f t="shared" si="7"/>
        <v>0</v>
      </c>
      <c r="L106" s="350">
        <f t="shared" si="8"/>
        <v>1228.75</v>
      </c>
      <c r="M106" s="351">
        <f t="shared" si="9"/>
        <v>0</v>
      </c>
      <c r="N106" s="258"/>
      <c r="O106" s="258"/>
    </row>
    <row r="107" spans="1:15" s="297" customFormat="1" ht="14.5" customHeight="1" thickBot="1" x14ac:dyDescent="0.35">
      <c r="A107" s="381" t="s">
        <v>189</v>
      </c>
      <c r="B107" s="375" t="s">
        <v>190</v>
      </c>
      <c r="C107" s="99" t="s">
        <v>85</v>
      </c>
      <c r="D107" s="50">
        <v>0</v>
      </c>
      <c r="E107" s="51">
        <v>500</v>
      </c>
      <c r="F107" s="52">
        <v>0.2</v>
      </c>
      <c r="G107" s="376">
        <f t="shared" si="5"/>
        <v>625</v>
      </c>
      <c r="H107" s="376">
        <v>525</v>
      </c>
      <c r="I107" s="84">
        <v>0.15</v>
      </c>
      <c r="J107" s="80">
        <f t="shared" si="6"/>
        <v>603.75</v>
      </c>
      <c r="K107" s="382">
        <f t="shared" si="7"/>
        <v>0</v>
      </c>
      <c r="L107" s="350">
        <f t="shared" si="8"/>
        <v>1228.75</v>
      </c>
      <c r="M107" s="378">
        <f t="shared" si="9"/>
        <v>0</v>
      </c>
      <c r="N107" s="258"/>
      <c r="O107" s="258"/>
    </row>
    <row r="108" spans="1:15" s="297" customFormat="1" ht="14.5" customHeight="1" thickBot="1" x14ac:dyDescent="0.35">
      <c r="A108" s="404"/>
      <c r="B108" s="405"/>
      <c r="C108" s="96"/>
      <c r="D108" s="1"/>
      <c r="E108" s="36"/>
      <c r="F108" s="41"/>
      <c r="G108" s="348"/>
      <c r="H108" s="348"/>
      <c r="I108" s="79"/>
      <c r="J108" s="79"/>
      <c r="K108" s="406"/>
      <c r="L108" s="350"/>
      <c r="M108" s="351"/>
      <c r="N108" s="258"/>
      <c r="O108" s="258"/>
    </row>
    <row r="109" spans="1:15" ht="14.15" customHeight="1" x14ac:dyDescent="0.3">
      <c r="A109" s="359">
        <v>2.15</v>
      </c>
      <c r="B109" s="399"/>
      <c r="C109" s="100"/>
      <c r="D109" s="58" t="s">
        <v>191</v>
      </c>
      <c r="E109" s="56"/>
      <c r="F109" s="57"/>
      <c r="G109" s="361"/>
      <c r="H109" s="361"/>
      <c r="I109" s="56"/>
      <c r="J109" s="56"/>
      <c r="K109" s="362"/>
      <c r="L109" s="363"/>
      <c r="M109" s="363"/>
      <c r="N109" s="258"/>
      <c r="O109" s="258"/>
    </row>
    <row r="110" spans="1:15" ht="14.15" customHeight="1" x14ac:dyDescent="0.3">
      <c r="A110" s="341"/>
      <c r="B110" s="368"/>
      <c r="C110" s="96"/>
      <c r="D110" s="1"/>
      <c r="E110" s="36"/>
      <c r="F110" s="41"/>
      <c r="G110" s="348"/>
      <c r="H110" s="348"/>
      <c r="I110" s="79"/>
      <c r="J110" s="79"/>
      <c r="K110" s="349"/>
      <c r="L110" s="350"/>
      <c r="M110" s="351"/>
      <c r="N110" s="258"/>
      <c r="O110" s="258"/>
    </row>
    <row r="111" spans="1:15" ht="28" customHeight="1" x14ac:dyDescent="0.3">
      <c r="A111" s="341"/>
      <c r="B111" s="373" t="s">
        <v>192</v>
      </c>
      <c r="C111" s="96"/>
      <c r="D111" s="1"/>
      <c r="E111" s="36"/>
      <c r="F111" s="41"/>
      <c r="G111" s="348"/>
      <c r="H111" s="348"/>
      <c r="I111" s="79"/>
      <c r="J111" s="79"/>
      <c r="K111" s="349"/>
      <c r="L111" s="350"/>
      <c r="M111" s="351"/>
      <c r="N111" s="258"/>
      <c r="O111" s="258"/>
    </row>
    <row r="112" spans="1:15" ht="14.15" customHeight="1" x14ac:dyDescent="0.3">
      <c r="A112" s="384"/>
      <c r="B112" s="373"/>
      <c r="C112" s="96"/>
      <c r="D112" s="1"/>
      <c r="E112" s="36"/>
      <c r="F112" s="41"/>
      <c r="G112" s="348"/>
      <c r="H112" s="348"/>
      <c r="I112" s="79"/>
      <c r="J112" s="79"/>
      <c r="K112" s="349"/>
      <c r="L112" s="350"/>
      <c r="M112" s="351"/>
      <c r="N112" s="258"/>
      <c r="O112" s="258"/>
    </row>
    <row r="113" spans="1:15" ht="14.15" customHeight="1" x14ac:dyDescent="0.3">
      <c r="A113" s="341" t="s">
        <v>193</v>
      </c>
      <c r="B113" s="373" t="s">
        <v>194</v>
      </c>
      <c r="C113" s="96" t="s">
        <v>108</v>
      </c>
      <c r="D113" s="1">
        <v>0</v>
      </c>
      <c r="E113" s="36">
        <f>132*(15+10+10)</f>
        <v>4620</v>
      </c>
      <c r="F113" s="41">
        <v>0.2</v>
      </c>
      <c r="G113" s="348">
        <f>E113/(1-F113)</f>
        <v>5775</v>
      </c>
      <c r="H113" s="348">
        <f>9*(15+10+10)</f>
        <v>315</v>
      </c>
      <c r="I113" s="83">
        <v>0.15</v>
      </c>
      <c r="J113" s="79">
        <f>H113*(1+I113)</f>
        <v>362.25</v>
      </c>
      <c r="K113" s="349">
        <f>J113*D113</f>
        <v>0</v>
      </c>
      <c r="L113" s="350">
        <f>G113+J113</f>
        <v>6137.25</v>
      </c>
      <c r="M113" s="351">
        <f>D113*L113</f>
        <v>0</v>
      </c>
      <c r="N113" s="258"/>
      <c r="O113" s="258"/>
    </row>
    <row r="114" spans="1:15" ht="14.5" customHeight="1" thickBot="1" x14ac:dyDescent="0.35">
      <c r="A114" s="381" t="s">
        <v>195</v>
      </c>
      <c r="B114" s="375" t="s">
        <v>196</v>
      </c>
      <c r="C114" s="99" t="s">
        <v>108</v>
      </c>
      <c r="D114" s="50">
        <v>18</v>
      </c>
      <c r="E114" s="51">
        <f>30</f>
        <v>30</v>
      </c>
      <c r="F114" s="52">
        <v>0.2</v>
      </c>
      <c r="G114" s="376">
        <f>E114/(1-F114)</f>
        <v>37.5</v>
      </c>
      <c r="H114" s="376">
        <f>15</f>
        <v>15</v>
      </c>
      <c r="I114" s="84">
        <v>0.15</v>
      </c>
      <c r="J114" s="80">
        <f>H114*(1+I114)</f>
        <v>17.25</v>
      </c>
      <c r="K114" s="382">
        <f>J114*D114</f>
        <v>310.5</v>
      </c>
      <c r="L114" s="407">
        <f>G114+J114</f>
        <v>54.75</v>
      </c>
      <c r="M114" s="378">
        <f>D114*L114</f>
        <v>985.5</v>
      </c>
      <c r="N114" s="258"/>
      <c r="O114" s="258"/>
    </row>
    <row r="115" spans="1:15" ht="14.5" customHeight="1" thickBot="1" x14ac:dyDescent="0.35">
      <c r="A115" s="258"/>
      <c r="B115" s="405"/>
      <c r="C115" s="96"/>
      <c r="D115" s="1"/>
      <c r="E115" s="36"/>
      <c r="F115" s="41"/>
      <c r="G115" s="348"/>
      <c r="H115" s="348"/>
      <c r="I115" s="79"/>
      <c r="J115" s="79"/>
      <c r="K115" s="406"/>
      <c r="L115" s="350"/>
      <c r="M115" s="351"/>
      <c r="N115" s="258"/>
      <c r="O115" s="258"/>
    </row>
    <row r="116" spans="1:15" ht="14.15" customHeight="1" x14ac:dyDescent="0.3">
      <c r="A116" s="359">
        <v>2.16</v>
      </c>
      <c r="B116" s="399"/>
      <c r="C116" s="100"/>
      <c r="D116" s="58" t="s">
        <v>197</v>
      </c>
      <c r="E116" s="56"/>
      <c r="F116" s="57"/>
      <c r="G116" s="361"/>
      <c r="H116" s="361"/>
      <c r="I116" s="56"/>
      <c r="J116" s="56"/>
      <c r="K116" s="362"/>
      <c r="L116" s="363"/>
      <c r="M116" s="363"/>
      <c r="N116" s="258"/>
      <c r="O116" s="258"/>
    </row>
    <row r="117" spans="1:15" ht="14.15" customHeight="1" x14ac:dyDescent="0.3">
      <c r="A117" s="341"/>
      <c r="B117" s="368"/>
      <c r="C117" s="96"/>
      <c r="D117" s="1"/>
      <c r="E117" s="36"/>
      <c r="F117" s="41"/>
      <c r="G117" s="348"/>
      <c r="H117" s="348"/>
      <c r="I117" s="79"/>
      <c r="J117" s="79"/>
      <c r="K117" s="349"/>
      <c r="L117" s="350"/>
      <c r="M117" s="351"/>
      <c r="N117" s="258"/>
      <c r="O117" s="258"/>
    </row>
    <row r="118" spans="1:15" ht="28.5" customHeight="1" thickBot="1" x14ac:dyDescent="0.35">
      <c r="A118" s="381" t="s">
        <v>198</v>
      </c>
      <c r="B118" s="375" t="s">
        <v>199</v>
      </c>
      <c r="C118" s="95" t="s">
        <v>108</v>
      </c>
      <c r="D118" s="50">
        <v>10</v>
      </c>
      <c r="E118" s="51">
        <v>5</v>
      </c>
      <c r="F118" s="52">
        <v>0.2</v>
      </c>
      <c r="G118" s="376">
        <f>E118/(1-F118)</f>
        <v>6.25</v>
      </c>
      <c r="H118" s="376">
        <f>(100*3)</f>
        <v>300</v>
      </c>
      <c r="I118" s="84">
        <v>0.15</v>
      </c>
      <c r="J118" s="80">
        <f>H118*(1+I118)</f>
        <v>345</v>
      </c>
      <c r="K118" s="382">
        <f>J118*D118</f>
        <v>3450</v>
      </c>
      <c r="L118" s="407">
        <f>G118+J118</f>
        <v>351.25</v>
      </c>
      <c r="M118" s="378">
        <f>D118*L118</f>
        <v>3512.5</v>
      </c>
      <c r="N118" s="258"/>
      <c r="O118" s="258"/>
    </row>
    <row r="119" spans="1:15" ht="13.4" customHeight="1" thickBot="1" x14ac:dyDescent="0.35">
      <c r="A119" s="404"/>
      <c r="B119" s="405"/>
      <c r="C119" s="96"/>
      <c r="D119" s="1"/>
      <c r="E119" s="36"/>
      <c r="F119" s="41"/>
      <c r="G119" s="348"/>
      <c r="H119" s="348"/>
      <c r="I119" s="79"/>
      <c r="J119" s="79"/>
      <c r="K119" s="406"/>
      <c r="L119" s="350"/>
      <c r="M119" s="351"/>
      <c r="N119" s="258"/>
      <c r="O119" s="258"/>
    </row>
    <row r="120" spans="1:15" ht="14.15" customHeight="1" x14ac:dyDescent="0.3">
      <c r="A120" s="359">
        <v>2.17</v>
      </c>
      <c r="B120" s="399"/>
      <c r="C120" s="100"/>
      <c r="D120" s="58" t="s">
        <v>200</v>
      </c>
      <c r="E120" s="56"/>
      <c r="F120" s="57"/>
      <c r="G120" s="361"/>
      <c r="H120" s="361"/>
      <c r="I120" s="56"/>
      <c r="J120" s="56"/>
      <c r="K120" s="362"/>
      <c r="L120" s="363"/>
      <c r="M120" s="363"/>
      <c r="N120" s="258"/>
      <c r="O120" s="258"/>
    </row>
    <row r="121" spans="1:15" ht="14.15" customHeight="1" x14ac:dyDescent="0.3">
      <c r="A121" s="341"/>
      <c r="B121" s="408"/>
      <c r="C121" s="96"/>
      <c r="D121" s="1"/>
      <c r="E121" s="36"/>
      <c r="F121" s="41"/>
      <c r="G121" s="348"/>
      <c r="H121" s="348"/>
      <c r="I121" s="79"/>
      <c r="J121" s="79"/>
      <c r="K121" s="349"/>
      <c r="L121" s="350"/>
      <c r="M121" s="351"/>
      <c r="N121" s="258"/>
      <c r="O121" s="258"/>
    </row>
    <row r="122" spans="1:15" ht="14.15" customHeight="1" x14ac:dyDescent="0.3">
      <c r="A122" s="341"/>
      <c r="B122" s="373" t="s">
        <v>201</v>
      </c>
      <c r="C122" s="96"/>
      <c r="D122" s="1"/>
      <c r="E122" s="36"/>
      <c r="F122" s="41"/>
      <c r="G122" s="348"/>
      <c r="H122" s="348"/>
      <c r="I122" s="79"/>
      <c r="J122" s="79"/>
      <c r="K122" s="349"/>
      <c r="L122" s="350"/>
      <c r="M122" s="351"/>
      <c r="N122" s="258"/>
      <c r="O122" s="258"/>
    </row>
    <row r="123" spans="1:15" ht="14.15" customHeight="1" x14ac:dyDescent="0.3">
      <c r="A123" s="384"/>
      <c r="B123" s="409"/>
      <c r="C123" s="96"/>
      <c r="D123" s="1"/>
      <c r="E123" s="36"/>
      <c r="F123" s="41"/>
      <c r="G123" s="348"/>
      <c r="H123" s="348"/>
      <c r="I123" s="79"/>
      <c r="J123" s="79"/>
      <c r="K123" s="349"/>
      <c r="L123" s="350"/>
      <c r="M123" s="351"/>
      <c r="N123" s="258"/>
      <c r="O123" s="258"/>
    </row>
    <row r="124" spans="1:15" ht="28" customHeight="1" x14ac:dyDescent="0.3">
      <c r="A124" s="341" t="s">
        <v>202</v>
      </c>
      <c r="B124" s="373" t="s">
        <v>203</v>
      </c>
      <c r="C124" s="94" t="s">
        <v>42</v>
      </c>
      <c r="D124" s="1">
        <v>0</v>
      </c>
      <c r="E124" s="36"/>
      <c r="F124" s="41">
        <v>0.2</v>
      </c>
      <c r="G124" s="348">
        <f>E124/(1-F124)</f>
        <v>0</v>
      </c>
      <c r="H124" s="348">
        <f>140*(20+60+200)</f>
        <v>39200</v>
      </c>
      <c r="I124" s="83">
        <v>0.15</v>
      </c>
      <c r="J124" s="79">
        <f>H124*(1+I124)</f>
        <v>45080</v>
      </c>
      <c r="K124" s="349">
        <f>J124*D124</f>
        <v>0</v>
      </c>
      <c r="L124" s="350">
        <f>G124+J124</f>
        <v>45080</v>
      </c>
      <c r="M124" s="351">
        <f>D124*L124</f>
        <v>0</v>
      </c>
      <c r="N124" s="258"/>
      <c r="O124" s="258"/>
    </row>
    <row r="125" spans="1:15" s="297" customFormat="1" ht="28" customHeight="1" x14ac:dyDescent="0.3">
      <c r="A125" s="341" t="s">
        <v>204</v>
      </c>
      <c r="B125" s="373" t="s">
        <v>205</v>
      </c>
      <c r="C125" s="94" t="s">
        <v>42</v>
      </c>
      <c r="D125" s="1">
        <v>0</v>
      </c>
      <c r="E125" s="36"/>
      <c r="F125" s="41">
        <v>0.2</v>
      </c>
      <c r="G125" s="348">
        <f>E125/(1-F125)</f>
        <v>0</v>
      </c>
      <c r="H125" s="348">
        <f>140*(20+60+200)</f>
        <v>39200</v>
      </c>
      <c r="I125" s="83">
        <v>0.15</v>
      </c>
      <c r="J125" s="79">
        <f>H125*(1+I125)</f>
        <v>45080</v>
      </c>
      <c r="K125" s="349">
        <f>J125*D125</f>
        <v>0</v>
      </c>
      <c r="L125" s="350">
        <f>G125+J125</f>
        <v>45080</v>
      </c>
      <c r="M125" s="351">
        <f>D125*L125</f>
        <v>0</v>
      </c>
      <c r="N125" s="258"/>
      <c r="O125" s="258"/>
    </row>
    <row r="126" spans="1:15" s="297" customFormat="1" ht="14.15" customHeight="1" x14ac:dyDescent="0.3">
      <c r="A126" s="341" t="s">
        <v>206</v>
      </c>
      <c r="B126" s="373" t="s">
        <v>207</v>
      </c>
      <c r="C126" s="94" t="s">
        <v>42</v>
      </c>
      <c r="D126" s="1">
        <v>0</v>
      </c>
      <c r="E126" s="36">
        <f>35*(50+50)</f>
        <v>3500</v>
      </c>
      <c r="F126" s="41">
        <v>0.2</v>
      </c>
      <c r="G126" s="348">
        <f>E126/(1-F126)</f>
        <v>4375</v>
      </c>
      <c r="H126" s="348">
        <f>5*(50+50+50)</f>
        <v>750</v>
      </c>
      <c r="I126" s="83">
        <v>0.15</v>
      </c>
      <c r="J126" s="79">
        <f>H126*(1+I126)</f>
        <v>862.49999999999989</v>
      </c>
      <c r="K126" s="349">
        <f>J126*D126</f>
        <v>0</v>
      </c>
      <c r="L126" s="350">
        <f>G126+J126</f>
        <v>5237.5</v>
      </c>
      <c r="M126" s="351">
        <f>D126*L126</f>
        <v>0</v>
      </c>
      <c r="N126" s="258"/>
      <c r="O126" s="258"/>
    </row>
    <row r="127" spans="1:15" s="297" customFormat="1" ht="14.5" customHeight="1" thickBot="1" x14ac:dyDescent="0.35">
      <c r="A127" s="381" t="s">
        <v>208</v>
      </c>
      <c r="B127" s="375" t="s">
        <v>209</v>
      </c>
      <c r="C127" s="95" t="s">
        <v>42</v>
      </c>
      <c r="D127" s="50">
        <v>0</v>
      </c>
      <c r="E127" s="51">
        <f>4500*3</f>
        <v>13500</v>
      </c>
      <c r="F127" s="52">
        <v>0.2</v>
      </c>
      <c r="G127" s="376">
        <f>E127/(1-F127)</f>
        <v>16875</v>
      </c>
      <c r="H127" s="376">
        <v>5</v>
      </c>
      <c r="I127" s="84">
        <v>0.15</v>
      </c>
      <c r="J127" s="80">
        <f>H127*(1+I127)</f>
        <v>5.75</v>
      </c>
      <c r="K127" s="382">
        <f>J127*D127</f>
        <v>0</v>
      </c>
      <c r="L127" s="407">
        <f>G127+J127</f>
        <v>16880.75</v>
      </c>
      <c r="M127" s="378">
        <f>D127*L127</f>
        <v>0</v>
      </c>
      <c r="N127" s="258"/>
      <c r="O127" s="258"/>
    </row>
    <row r="128" spans="1:15" s="297" customFormat="1" ht="14.5" customHeight="1" thickBot="1" x14ac:dyDescent="0.35">
      <c r="A128" s="404"/>
      <c r="B128" s="410"/>
      <c r="C128" s="28"/>
      <c r="D128" s="1"/>
      <c r="E128" s="36"/>
      <c r="F128" s="41"/>
      <c r="G128" s="348"/>
      <c r="H128" s="348"/>
      <c r="I128" s="79"/>
      <c r="J128" s="79"/>
      <c r="K128" s="406"/>
      <c r="L128" s="350"/>
      <c r="M128" s="351"/>
      <c r="N128" s="258"/>
      <c r="O128" s="258"/>
    </row>
    <row r="129" spans="1:15" s="297" customFormat="1" ht="14.15" customHeight="1" x14ac:dyDescent="0.3">
      <c r="A129" s="359">
        <v>2.1800000000000002</v>
      </c>
      <c r="B129" s="399"/>
      <c r="C129" s="100"/>
      <c r="D129" s="55" t="s">
        <v>210</v>
      </c>
      <c r="E129" s="56"/>
      <c r="F129" s="57"/>
      <c r="G129" s="361"/>
      <c r="H129" s="361"/>
      <c r="I129" s="56"/>
      <c r="J129" s="56"/>
      <c r="K129" s="362"/>
      <c r="L129" s="363"/>
      <c r="M129" s="363"/>
      <c r="N129" s="258"/>
      <c r="O129" s="258"/>
    </row>
    <row r="130" spans="1:15" s="297" customFormat="1" ht="14.15" customHeight="1" x14ac:dyDescent="0.3">
      <c r="A130" s="341"/>
      <c r="B130" s="408"/>
      <c r="C130" s="96"/>
      <c r="D130" s="1"/>
      <c r="E130" s="36"/>
      <c r="F130" s="41"/>
      <c r="G130" s="348"/>
      <c r="H130" s="348"/>
      <c r="I130" s="79"/>
      <c r="J130" s="79"/>
      <c r="K130" s="349"/>
      <c r="L130" s="350"/>
      <c r="M130" s="351"/>
      <c r="N130" s="258"/>
      <c r="O130" s="258"/>
    </row>
    <row r="131" spans="1:15" s="297" customFormat="1" ht="14.15" customHeight="1" x14ac:dyDescent="0.3">
      <c r="A131" s="341" t="s">
        <v>211</v>
      </c>
      <c r="B131" s="373" t="s">
        <v>212</v>
      </c>
      <c r="C131" s="96" t="s">
        <v>42</v>
      </c>
      <c r="D131" s="1">
        <v>0</v>
      </c>
      <c r="E131" s="36">
        <v>0</v>
      </c>
      <c r="F131" s="41">
        <v>0.2</v>
      </c>
      <c r="G131" s="348">
        <f>E131/(1-F131)</f>
        <v>0</v>
      </c>
      <c r="H131" s="348">
        <f>2500*3</f>
        <v>7500</v>
      </c>
      <c r="I131" s="79"/>
      <c r="J131" s="79"/>
      <c r="K131" s="349">
        <f>H131*D131</f>
        <v>0</v>
      </c>
      <c r="L131" s="350">
        <f>G131+J131</f>
        <v>0</v>
      </c>
      <c r="M131" s="351">
        <f>D131*L131</f>
        <v>0</v>
      </c>
      <c r="N131" s="258"/>
      <c r="O131" s="258"/>
    </row>
    <row r="132" spans="1:15" s="297" customFormat="1" ht="14.5" customHeight="1" thickBot="1" x14ac:dyDescent="0.35">
      <c r="A132" s="381"/>
      <c r="B132" s="411"/>
      <c r="C132" s="77"/>
      <c r="D132" s="50"/>
      <c r="E132" s="51"/>
      <c r="F132" s="52"/>
      <c r="G132" s="376"/>
      <c r="H132" s="376"/>
      <c r="I132" s="80"/>
      <c r="J132" s="80"/>
      <c r="K132" s="382">
        <f>H132*D132</f>
        <v>0</v>
      </c>
      <c r="L132" s="412"/>
      <c r="M132" s="378"/>
      <c r="N132" s="258"/>
      <c r="O132" s="258"/>
    </row>
    <row r="133" spans="1:15" s="297" customFormat="1" ht="14.15" customHeight="1" x14ac:dyDescent="0.3">
      <c r="A133" s="369"/>
      <c r="B133" s="413"/>
      <c r="C133" s="28"/>
      <c r="D133" s="1"/>
      <c r="E133" s="36"/>
      <c r="F133" s="41"/>
      <c r="G133" s="348"/>
      <c r="H133" s="348"/>
      <c r="I133" s="36"/>
      <c r="J133" s="36"/>
      <c r="K133" s="414"/>
      <c r="L133" s="350"/>
      <c r="M133" s="351"/>
      <c r="N133" s="258"/>
      <c r="O133" s="258"/>
    </row>
    <row r="134" spans="1:15" s="297" customFormat="1" ht="14.15" customHeight="1" x14ac:dyDescent="0.3">
      <c r="A134" s="404">
        <v>2.19</v>
      </c>
      <c r="B134" s="409" t="s">
        <v>213</v>
      </c>
      <c r="C134" s="96"/>
      <c r="D134" s="1"/>
      <c r="E134" s="36"/>
      <c r="F134" s="41"/>
      <c r="G134" s="348"/>
      <c r="H134" s="348"/>
      <c r="I134" s="36"/>
      <c r="J134" s="36"/>
      <c r="K134" s="415">
        <f>H134*D134</f>
        <v>0</v>
      </c>
      <c r="L134" s="350"/>
      <c r="M134" s="351"/>
      <c r="N134" s="258"/>
      <c r="O134" s="258"/>
    </row>
    <row r="135" spans="1:15" s="297" customFormat="1" ht="14.15" customHeight="1" x14ac:dyDescent="0.3">
      <c r="A135" s="404" t="s">
        <v>214</v>
      </c>
      <c r="B135" s="373" t="s">
        <v>215</v>
      </c>
      <c r="C135" s="96" t="s">
        <v>42</v>
      </c>
      <c r="D135" s="1">
        <v>1</v>
      </c>
      <c r="E135" s="36">
        <v>25000</v>
      </c>
      <c r="F135" s="41">
        <v>0</v>
      </c>
      <c r="G135" s="348">
        <f>E135/(1-F135)</f>
        <v>25000</v>
      </c>
      <c r="H135" s="348">
        <v>0</v>
      </c>
      <c r="I135" s="36"/>
      <c r="J135" s="36"/>
      <c r="K135" s="415">
        <f>H135*D135</f>
        <v>0</v>
      </c>
      <c r="L135" s="350">
        <f>G135+H135</f>
        <v>25000</v>
      </c>
      <c r="M135" s="351">
        <f>D135*L135</f>
        <v>25000</v>
      </c>
      <c r="N135" s="258"/>
      <c r="O135" s="258"/>
    </row>
    <row r="136" spans="1:15" s="297" customFormat="1" ht="14.15" customHeight="1" x14ac:dyDescent="0.3">
      <c r="A136" s="404"/>
      <c r="B136" s="409"/>
      <c r="C136" s="96"/>
      <c r="D136" s="1"/>
      <c r="E136" s="36"/>
      <c r="F136" s="41"/>
      <c r="G136" s="348"/>
      <c r="H136" s="348"/>
      <c r="I136" s="36"/>
      <c r="J136" s="36"/>
      <c r="K136" s="415"/>
      <c r="L136" s="350"/>
      <c r="M136" s="351"/>
      <c r="N136" s="258"/>
      <c r="O136" s="258"/>
    </row>
    <row r="137" spans="1:15" s="297" customFormat="1" ht="14.15" customHeight="1" x14ac:dyDescent="0.3">
      <c r="A137" s="416">
        <v>2.2000000000000002</v>
      </c>
      <c r="B137" s="409" t="s">
        <v>216</v>
      </c>
      <c r="C137" s="96"/>
      <c r="D137" s="1"/>
      <c r="E137" s="36"/>
      <c r="F137" s="41"/>
      <c r="G137" s="348"/>
      <c r="H137" s="348"/>
      <c r="I137" s="36"/>
      <c r="J137" s="36"/>
      <c r="K137" s="415">
        <f>H137*D137</f>
        <v>0</v>
      </c>
      <c r="L137" s="350"/>
      <c r="M137" s="351"/>
      <c r="N137" s="258"/>
      <c r="O137" s="258"/>
    </row>
    <row r="138" spans="1:15" s="297" customFormat="1" ht="14.15" customHeight="1" x14ac:dyDescent="0.3">
      <c r="A138" s="404" t="s">
        <v>217</v>
      </c>
      <c r="B138" s="373" t="s">
        <v>218</v>
      </c>
      <c r="C138" s="96" t="s">
        <v>42</v>
      </c>
      <c r="D138" s="1">
        <v>1</v>
      </c>
      <c r="E138" s="36">
        <f>15000</f>
        <v>15000</v>
      </c>
      <c r="F138" s="41">
        <v>0</v>
      </c>
      <c r="G138" s="348">
        <f>E138/(1-F138)</f>
        <v>15000</v>
      </c>
      <c r="H138" s="348">
        <v>0</v>
      </c>
      <c r="I138" s="36"/>
      <c r="J138" s="36"/>
      <c r="K138" s="415">
        <f>H138*D138</f>
        <v>0</v>
      </c>
      <c r="L138" s="350">
        <f>G138+H138</f>
        <v>15000</v>
      </c>
      <c r="M138" s="351">
        <f>D138*L138</f>
        <v>15000</v>
      </c>
      <c r="N138" s="258"/>
      <c r="O138" s="258"/>
    </row>
    <row r="139" spans="1:15" s="297" customFormat="1" ht="14.15" customHeight="1" x14ac:dyDescent="0.3">
      <c r="A139" s="404"/>
      <c r="B139" s="409"/>
      <c r="C139" s="96"/>
      <c r="D139" s="1"/>
      <c r="E139" s="36"/>
      <c r="F139" s="41"/>
      <c r="G139" s="348"/>
      <c r="H139" s="348"/>
      <c r="I139" s="36"/>
      <c r="J139" s="36"/>
      <c r="K139" s="415"/>
      <c r="L139" s="350"/>
      <c r="M139" s="351"/>
      <c r="N139" s="258"/>
      <c r="O139" s="258"/>
    </row>
    <row r="140" spans="1:15" s="297" customFormat="1" ht="14.15" customHeight="1" x14ac:dyDescent="0.3">
      <c r="A140" s="404">
        <v>2.21</v>
      </c>
      <c r="B140" s="409" t="s">
        <v>219</v>
      </c>
      <c r="C140" s="96"/>
      <c r="D140" s="1"/>
      <c r="E140" s="36"/>
      <c r="F140" s="41"/>
      <c r="G140" s="348"/>
      <c r="H140" s="348"/>
      <c r="I140" s="36"/>
      <c r="J140" s="36"/>
      <c r="K140" s="415">
        <f>H140*D140</f>
        <v>0</v>
      </c>
      <c r="L140" s="350"/>
      <c r="M140" s="351"/>
      <c r="N140" s="258"/>
      <c r="O140" s="258"/>
    </row>
    <row r="141" spans="1:15" ht="14.15" customHeight="1" x14ac:dyDescent="0.3">
      <c r="A141" s="404" t="s">
        <v>220</v>
      </c>
      <c r="B141" s="373" t="s">
        <v>221</v>
      </c>
      <c r="C141" s="96" t="s">
        <v>42</v>
      </c>
      <c r="D141" s="1">
        <v>1</v>
      </c>
      <c r="E141" s="36">
        <f>5000</f>
        <v>5000</v>
      </c>
      <c r="F141" s="41">
        <v>0</v>
      </c>
      <c r="G141" s="348">
        <f>E141/(1-F141)</f>
        <v>5000</v>
      </c>
      <c r="H141" s="348">
        <v>0</v>
      </c>
      <c r="I141" s="36"/>
      <c r="J141" s="36"/>
      <c r="K141" s="415">
        <f>H141*D141</f>
        <v>0</v>
      </c>
      <c r="L141" s="350">
        <f>G141+H141</f>
        <v>5000</v>
      </c>
      <c r="M141" s="351">
        <f>D141*L141</f>
        <v>5000</v>
      </c>
      <c r="N141" s="258"/>
      <c r="O141" s="258"/>
    </row>
    <row r="142" spans="1:15" ht="14.15" customHeight="1" x14ac:dyDescent="0.3">
      <c r="A142" s="404" t="s">
        <v>222</v>
      </c>
      <c r="B142" s="373" t="s">
        <v>223</v>
      </c>
      <c r="C142" s="96" t="s">
        <v>42</v>
      </c>
      <c r="D142" s="1">
        <v>1</v>
      </c>
      <c r="E142" s="36">
        <f>50000</f>
        <v>50000</v>
      </c>
      <c r="F142" s="41">
        <v>0</v>
      </c>
      <c r="G142" s="348">
        <f>E142/(1-F142)</f>
        <v>50000</v>
      </c>
      <c r="H142" s="348">
        <v>0</v>
      </c>
      <c r="I142" s="36"/>
      <c r="J142" s="36"/>
      <c r="K142" s="415">
        <f>H142*D142</f>
        <v>0</v>
      </c>
      <c r="L142" s="350">
        <f>G142+H142</f>
        <v>50000</v>
      </c>
      <c r="M142" s="351">
        <f>D142*L142</f>
        <v>50000</v>
      </c>
      <c r="N142" s="258"/>
      <c r="O142" s="258"/>
    </row>
    <row r="143" spans="1:15" ht="14.15" customHeight="1" x14ac:dyDescent="0.3">
      <c r="A143" s="404"/>
      <c r="B143" s="413"/>
      <c r="C143" s="28"/>
      <c r="D143" s="1"/>
      <c r="E143" s="36"/>
      <c r="F143" s="41"/>
      <c r="G143" s="348"/>
      <c r="H143" s="348"/>
      <c r="I143" s="36"/>
      <c r="J143" s="36"/>
      <c r="K143" s="415"/>
      <c r="L143" s="350"/>
      <c r="M143" s="351"/>
      <c r="N143" s="258"/>
      <c r="O143" s="258"/>
    </row>
    <row r="144" spans="1:15" ht="14.15" customHeight="1" x14ac:dyDescent="0.3">
      <c r="A144" s="404">
        <v>2.2200000000000002</v>
      </c>
      <c r="B144" s="409" t="s">
        <v>224</v>
      </c>
      <c r="C144" s="28"/>
      <c r="D144" s="1"/>
      <c r="E144" s="36"/>
      <c r="F144" s="41"/>
      <c r="G144" s="348"/>
      <c r="H144" s="348"/>
      <c r="I144" s="36"/>
      <c r="J144" s="36"/>
      <c r="K144" s="415">
        <f>H144*D144</f>
        <v>0</v>
      </c>
      <c r="L144" s="350"/>
      <c r="M144" s="351"/>
      <c r="N144" s="258"/>
      <c r="O144" s="258"/>
    </row>
    <row r="145" spans="1:15" ht="14.15" customHeight="1" x14ac:dyDescent="0.3">
      <c r="A145" s="404"/>
      <c r="B145" s="413"/>
      <c r="C145" s="28"/>
      <c r="D145" s="1"/>
      <c r="E145" s="36"/>
      <c r="F145" s="41"/>
      <c r="G145" s="348"/>
      <c r="H145" s="348"/>
      <c r="I145" s="36"/>
      <c r="J145" s="36"/>
      <c r="K145" s="415">
        <f>H145*D145</f>
        <v>0</v>
      </c>
      <c r="L145" s="350"/>
      <c r="M145" s="351"/>
      <c r="N145" s="258"/>
      <c r="O145" s="258"/>
    </row>
    <row r="146" spans="1:15" ht="28" customHeight="1" x14ac:dyDescent="0.3">
      <c r="A146" s="404" t="s">
        <v>225</v>
      </c>
      <c r="B146" s="373" t="s">
        <v>226</v>
      </c>
      <c r="C146" s="28" t="s">
        <v>42</v>
      </c>
      <c r="D146" s="1">
        <v>1</v>
      </c>
      <c r="E146" s="36">
        <f>5000*3</f>
        <v>15000</v>
      </c>
      <c r="F146" s="41">
        <v>0.2</v>
      </c>
      <c r="G146" s="348">
        <f>E146/(1-F146)</f>
        <v>18750</v>
      </c>
      <c r="H146" s="348">
        <v>1</v>
      </c>
      <c r="I146" s="36"/>
      <c r="J146" s="36"/>
      <c r="K146" s="415">
        <f>H146*D146</f>
        <v>1</v>
      </c>
      <c r="L146" s="350">
        <f>G146+H146</f>
        <v>18751</v>
      </c>
      <c r="M146" s="351">
        <f>D146*L146</f>
        <v>18751</v>
      </c>
      <c r="N146" s="258"/>
      <c r="O146" s="258"/>
    </row>
    <row r="147" spans="1:15" ht="14.15" customHeight="1" x14ac:dyDescent="0.3">
      <c r="A147" s="404"/>
      <c r="B147" s="413"/>
      <c r="C147" s="28"/>
      <c r="D147" s="1"/>
      <c r="E147" s="36"/>
      <c r="F147" s="41"/>
      <c r="G147" s="348"/>
      <c r="H147" s="348"/>
      <c r="I147" s="36"/>
      <c r="J147" s="36"/>
      <c r="K147" s="417"/>
      <c r="L147" s="350"/>
      <c r="M147" s="418"/>
      <c r="N147" s="258"/>
      <c r="O147" s="258"/>
    </row>
    <row r="148" spans="1:15" ht="14.5" customHeight="1" thickBot="1" x14ac:dyDescent="0.35">
      <c r="A148" s="440"/>
      <c r="B148" s="413"/>
      <c r="C148" s="28"/>
      <c r="D148" s="1"/>
      <c r="E148" s="36"/>
      <c r="F148" s="41"/>
      <c r="G148" s="348"/>
      <c r="H148" s="348"/>
      <c r="I148" s="36"/>
      <c r="J148" s="36"/>
      <c r="K148" s="417"/>
      <c r="L148" s="350"/>
      <c r="M148" s="418"/>
      <c r="N148" s="258"/>
      <c r="O148" s="258"/>
    </row>
    <row r="149" spans="1:15" ht="18.75" customHeight="1" thickTop="1" x14ac:dyDescent="0.3">
      <c r="A149" s="419"/>
      <c r="B149" s="420" t="s">
        <v>227</v>
      </c>
      <c r="C149" s="2"/>
      <c r="D149" s="2"/>
      <c r="E149" s="39"/>
      <c r="F149" s="42"/>
      <c r="G149" s="421"/>
      <c r="H149" s="421"/>
      <c r="I149" s="39"/>
      <c r="J149" s="39"/>
      <c r="K149" s="422">
        <f>SUM(K11:K146)</f>
        <v>120705</v>
      </c>
      <c r="L149" s="423"/>
      <c r="M149" s="424">
        <f>SUM(M11:M148)</f>
        <v>4891413.1869642856</v>
      </c>
      <c r="N149" s="258"/>
      <c r="O149" s="258"/>
    </row>
    <row r="150" spans="1:15" ht="16.5" customHeight="1" x14ac:dyDescent="0.3">
      <c r="A150" s="426"/>
      <c r="B150" s="427"/>
      <c r="C150" s="257"/>
      <c r="D150" s="47"/>
      <c r="E150" s="250"/>
      <c r="F150" s="48"/>
      <c r="G150" s="428"/>
      <c r="H150" s="428"/>
      <c r="I150" s="250"/>
      <c r="J150" s="250"/>
      <c r="K150" s="429"/>
      <c r="L150" s="430"/>
      <c r="M150" s="431"/>
      <c r="N150" s="258"/>
      <c r="O150" s="258"/>
    </row>
    <row r="151" spans="1:15" ht="18.75" customHeight="1" x14ac:dyDescent="0.3">
      <c r="A151" s="258"/>
      <c r="B151" s="387"/>
      <c r="C151" s="34"/>
      <c r="D151" s="249"/>
      <c r="E151" s="249"/>
      <c r="F151" s="249"/>
      <c r="G151" s="432"/>
      <c r="H151" s="432"/>
      <c r="I151" s="249"/>
      <c r="J151" s="249"/>
      <c r="K151" s="432"/>
      <c r="L151" s="433"/>
      <c r="M151" s="434"/>
      <c r="N151" s="433"/>
      <c r="O151" s="258"/>
    </row>
    <row r="152" spans="1:15" ht="18.75" customHeight="1" x14ac:dyDescent="0.25"/>
    <row r="153" spans="1:15" ht="18.75" customHeight="1" x14ac:dyDescent="0.25"/>
    <row r="154" spans="1:15" ht="18.75" customHeight="1" x14ac:dyDescent="0.25"/>
    <row r="155" spans="1:15" ht="18.75" customHeight="1" x14ac:dyDescent="0.25"/>
    <row r="156" spans="1:15" ht="18.75" customHeight="1" x14ac:dyDescent="0.25"/>
    <row r="157" spans="1:15" ht="18.75" customHeight="1" x14ac:dyDescent="0.25"/>
    <row r="158" spans="1:15" ht="18.75" customHeight="1" x14ac:dyDescent="0.25"/>
    <row r="159" spans="1:15" ht="18.75" customHeight="1" x14ac:dyDescent="0.25"/>
    <row r="160" spans="1:15" ht="18.75" customHeight="1" x14ac:dyDescent="0.25"/>
    <row r="161" ht="18.75" customHeight="1" x14ac:dyDescent="0.25"/>
    <row r="162" ht="18.75" customHeight="1" x14ac:dyDescent="0.25"/>
    <row r="163" ht="18.75" customHeight="1" x14ac:dyDescent="0.25"/>
    <row r="164" ht="18.75" customHeight="1" x14ac:dyDescent="0.25"/>
    <row r="165" ht="18.75" customHeight="1" x14ac:dyDescent="0.25"/>
    <row r="166" ht="18.75" customHeight="1" x14ac:dyDescent="0.25"/>
    <row r="167" ht="18.75" customHeight="1" x14ac:dyDescent="0.25"/>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67"/>
  <sheetViews>
    <sheetView view="pageBreakPreview" topLeftCell="H1" zoomScale="85" zoomScaleNormal="100" zoomScaleSheetLayoutView="85" workbookViewId="0">
      <pane ySplit="5" topLeftCell="A141" activePane="bottomLeft" state="frozen"/>
      <selection activeCell="D115" sqref="D115"/>
      <selection pane="bottomLeft" activeCell="N150" sqref="N150"/>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1" width="13.81640625" style="8" customWidth="1"/>
    <col min="12" max="12" width="13.54296875" style="295" bestFit="1" customWidth="1"/>
    <col min="13" max="13" width="16.81640625" style="296" bestFit="1" customWidth="1"/>
    <col min="14" max="14" width="15.54296875" style="29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str">
        <f>'[1]SECTION 1-P&amp;G'!A2:K2</f>
        <v>MUT - Alternative Energy supply</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303"/>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310"/>
      <c r="O4" s="258"/>
    </row>
    <row r="5" spans="1:15" ht="45.75" customHeight="1" thickTop="1" x14ac:dyDescent="0.3">
      <c r="A5" s="311" t="s">
        <v>34</v>
      </c>
      <c r="B5" s="312" t="s">
        <v>4</v>
      </c>
      <c r="C5" s="33" t="s">
        <v>35</v>
      </c>
      <c r="D5" s="33" t="s">
        <v>36</v>
      </c>
      <c r="E5" s="40" t="s">
        <v>72</v>
      </c>
      <c r="F5" s="82" t="s">
        <v>73</v>
      </c>
      <c r="G5" s="313" t="s">
        <v>74</v>
      </c>
      <c r="H5" s="314" t="s">
        <v>75</v>
      </c>
      <c r="I5" s="82" t="s">
        <v>73</v>
      </c>
      <c r="J5" s="315" t="s">
        <v>76</v>
      </c>
      <c r="K5" s="439"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325"/>
      <c r="O6" s="258"/>
    </row>
    <row r="7" spans="1:15" ht="32.15" customHeight="1" x14ac:dyDescent="0.3">
      <c r="A7" s="326">
        <v>2</v>
      </c>
      <c r="B7" s="327"/>
      <c r="C7" s="59"/>
      <c r="D7" s="60" t="s">
        <v>80</v>
      </c>
      <c r="E7" s="60"/>
      <c r="F7" s="60"/>
      <c r="G7" s="328"/>
      <c r="H7" s="328"/>
      <c r="I7" s="60"/>
      <c r="J7" s="60"/>
      <c r="K7" s="328"/>
      <c r="L7" s="329"/>
      <c r="M7" s="329"/>
      <c r="N7" s="330"/>
      <c r="O7" s="258"/>
    </row>
    <row r="8" spans="1:15" ht="16.5" customHeight="1" thickBot="1" x14ac:dyDescent="0.35">
      <c r="A8" s="331"/>
      <c r="B8" s="332"/>
      <c r="C8" s="63"/>
      <c r="D8" s="64"/>
      <c r="E8" s="64"/>
      <c r="F8" s="64"/>
      <c r="G8" s="333"/>
      <c r="H8" s="333"/>
      <c r="I8" s="64"/>
      <c r="J8" s="64"/>
      <c r="K8" s="333"/>
      <c r="L8" s="334"/>
      <c r="M8" s="334"/>
      <c r="N8" s="335"/>
      <c r="O8" s="258"/>
    </row>
    <row r="9" spans="1:15" ht="16.5" customHeight="1" x14ac:dyDescent="0.3">
      <c r="A9" s="336" t="s">
        <v>81</v>
      </c>
      <c r="B9" s="337"/>
      <c r="C9" s="252"/>
      <c r="D9" s="61" t="s">
        <v>82</v>
      </c>
      <c r="E9" s="62"/>
      <c r="F9" s="62"/>
      <c r="G9" s="338"/>
      <c r="H9" s="338"/>
      <c r="I9" s="62"/>
      <c r="J9" s="62"/>
      <c r="K9" s="338"/>
      <c r="L9" s="339"/>
      <c r="M9" s="339"/>
      <c r="N9" s="340"/>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347" t="s">
        <v>229</v>
      </c>
      <c r="C11" s="248" t="s">
        <v>85</v>
      </c>
      <c r="D11" s="1">
        <v>0</v>
      </c>
      <c r="E11" s="36">
        <f>1623.93</f>
        <v>1623.93</v>
      </c>
      <c r="F11" s="41">
        <v>0.25</v>
      </c>
      <c r="G11" s="348">
        <f>E11/(1-F11)</f>
        <v>2165.2400000000002</v>
      </c>
      <c r="H11" s="348">
        <v>350</v>
      </c>
      <c r="I11" s="83">
        <v>0.15</v>
      </c>
      <c r="J11" s="79">
        <f>H11*(1+I11)</f>
        <v>402.49999999999994</v>
      </c>
      <c r="K11" s="349">
        <f>J11*D11</f>
        <v>0</v>
      </c>
      <c r="L11" s="350">
        <f>G11+J11</f>
        <v>2567.7400000000002</v>
      </c>
      <c r="M11" s="351">
        <f>D11*L11</f>
        <v>0</v>
      </c>
      <c r="N11" s="258"/>
      <c r="O11" s="258"/>
    </row>
    <row r="12" spans="1:15" ht="14.5" customHeight="1" thickBot="1" x14ac:dyDescent="0.35">
      <c r="A12" s="354"/>
      <c r="B12" s="355"/>
      <c r="C12" s="97"/>
      <c r="D12" s="72"/>
      <c r="E12" s="73"/>
      <c r="F12" s="74"/>
      <c r="G12" s="356"/>
      <c r="H12" s="356"/>
      <c r="I12" s="73"/>
      <c r="J12" s="73"/>
      <c r="K12" s="357"/>
      <c r="L12" s="358"/>
      <c r="M12" s="358"/>
      <c r="N12" s="258"/>
      <c r="O12" s="258"/>
    </row>
    <row r="13" spans="1:15" ht="14.15" customHeight="1" x14ac:dyDescent="0.3">
      <c r="A13" s="359" t="s">
        <v>86</v>
      </c>
      <c r="B13" s="360"/>
      <c r="C13" s="255"/>
      <c r="D13" s="58" t="s">
        <v>87</v>
      </c>
      <c r="E13" s="56"/>
      <c r="F13" s="57"/>
      <c r="G13" s="361"/>
      <c r="H13" s="361"/>
      <c r="I13" s="56"/>
      <c r="J13" s="56"/>
      <c r="K13" s="362"/>
      <c r="L13" s="363"/>
      <c r="M13" s="363"/>
      <c r="N13" s="258"/>
      <c r="O13" s="258"/>
    </row>
    <row r="14" spans="1:15" ht="28.5" customHeight="1" thickBot="1" x14ac:dyDescent="0.35">
      <c r="A14" s="341" t="s">
        <v>88</v>
      </c>
      <c r="B14" s="365" t="s">
        <v>230</v>
      </c>
      <c r="C14" s="248" t="s">
        <v>90</v>
      </c>
      <c r="D14" s="1">
        <v>3</v>
      </c>
      <c r="E14" s="36">
        <v>87286.19</v>
      </c>
      <c r="F14" s="41">
        <v>0.2</v>
      </c>
      <c r="G14" s="348">
        <f>E14/(1-F14)</f>
        <v>109107.7375</v>
      </c>
      <c r="H14" s="348">
        <f>(550*8)+3600</f>
        <v>8000</v>
      </c>
      <c r="I14" s="83">
        <v>0.15</v>
      </c>
      <c r="J14" s="79">
        <f>H14*(1+I14)</f>
        <v>9200</v>
      </c>
      <c r="K14" s="349">
        <f>J14*D14</f>
        <v>27600</v>
      </c>
      <c r="L14" s="350">
        <f>G14+J14</f>
        <v>118307.7375</v>
      </c>
      <c r="M14" s="351">
        <f>D14*L14</f>
        <v>354923.21250000002</v>
      </c>
      <c r="N14" s="258"/>
      <c r="O14" s="258"/>
    </row>
    <row r="15" spans="1:15" ht="14.5" customHeight="1" thickBot="1" x14ac:dyDescent="0.35">
      <c r="A15" s="354"/>
      <c r="B15" s="355"/>
      <c r="C15" s="97"/>
      <c r="D15" s="72"/>
      <c r="E15" s="73"/>
      <c r="F15" s="74"/>
      <c r="G15" s="356"/>
      <c r="H15" s="356"/>
      <c r="I15" s="73"/>
      <c r="J15" s="73"/>
      <c r="K15" s="357"/>
      <c r="L15" s="358"/>
      <c r="M15" s="358"/>
      <c r="N15" s="258"/>
      <c r="O15" s="258"/>
    </row>
    <row r="16" spans="1:15" ht="14.15" customHeight="1" x14ac:dyDescent="0.3">
      <c r="A16" s="359">
        <v>2.2999999999999998</v>
      </c>
      <c r="B16" s="367"/>
      <c r="C16" s="255"/>
      <c r="D16" s="58" t="s">
        <v>91</v>
      </c>
      <c r="E16" s="56"/>
      <c r="F16" s="57"/>
      <c r="G16" s="361"/>
      <c r="H16" s="361"/>
      <c r="I16" s="56"/>
      <c r="J16" s="56"/>
      <c r="K16" s="362"/>
      <c r="L16" s="363"/>
      <c r="M16" s="363"/>
      <c r="N16" s="258"/>
      <c r="O16" s="258"/>
    </row>
    <row r="17" spans="1:15" ht="14.15" customHeight="1" x14ac:dyDescent="0.3">
      <c r="A17" s="341" t="s">
        <v>92</v>
      </c>
      <c r="B17" s="368" t="s">
        <v>231</v>
      </c>
      <c r="C17" s="30" t="s">
        <v>90</v>
      </c>
      <c r="D17" s="1">
        <v>1</v>
      </c>
      <c r="E17" s="36">
        <v>20000</v>
      </c>
      <c r="F17" s="41">
        <v>0.2</v>
      </c>
      <c r="G17" s="348">
        <f>E17/(1-F17)</f>
        <v>25000</v>
      </c>
      <c r="H17" s="348">
        <f>(550*4)+3500</f>
        <v>5700</v>
      </c>
      <c r="I17" s="83">
        <v>0.15</v>
      </c>
      <c r="J17" s="79">
        <f>H17*(1+I17)</f>
        <v>6554.9999999999991</v>
      </c>
      <c r="K17" s="349">
        <f>J17*D17</f>
        <v>6554.9999999999991</v>
      </c>
      <c r="L17" s="350">
        <f>G17+J17</f>
        <v>31555</v>
      </c>
      <c r="M17" s="351">
        <f>D17*L17</f>
        <v>31555</v>
      </c>
      <c r="N17" s="258"/>
      <c r="O17" s="258"/>
    </row>
    <row r="18" spans="1:15" ht="14.5" customHeight="1" thickBot="1" x14ac:dyDescent="0.35">
      <c r="A18" s="341" t="s">
        <v>94</v>
      </c>
      <c r="B18" s="368" t="s">
        <v>95</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258"/>
      <c r="O18" s="369"/>
    </row>
    <row r="19" spans="1:15" ht="14.15" customHeight="1" x14ac:dyDescent="0.3">
      <c r="A19" s="359">
        <v>2.4</v>
      </c>
      <c r="B19" s="360"/>
      <c r="C19" s="255"/>
      <c r="D19" s="58" t="s">
        <v>96</v>
      </c>
      <c r="E19" s="56"/>
      <c r="F19" s="57"/>
      <c r="G19" s="361"/>
      <c r="H19" s="361"/>
      <c r="I19" s="56"/>
      <c r="J19" s="56"/>
      <c r="K19" s="362"/>
      <c r="L19" s="363"/>
      <c r="M19" s="363"/>
      <c r="N19" s="258"/>
      <c r="O19" s="258"/>
    </row>
    <row r="20" spans="1:15" ht="28" customHeight="1" x14ac:dyDescent="0.3">
      <c r="A20" s="370" t="s">
        <v>97</v>
      </c>
      <c r="B20" s="365" t="s">
        <v>233</v>
      </c>
      <c r="C20" s="7" t="s">
        <v>85</v>
      </c>
      <c r="D20" s="7">
        <v>3</v>
      </c>
      <c r="E20" s="37">
        <f>460896.21*1.2</f>
        <v>553075.45200000005</v>
      </c>
      <c r="F20" s="41">
        <v>0.2</v>
      </c>
      <c r="G20" s="348">
        <f>E20/(1-F20)</f>
        <v>691344.31500000006</v>
      </c>
      <c r="H20" s="371">
        <f>(550*8)+3600</f>
        <v>8000</v>
      </c>
      <c r="I20" s="83">
        <v>0.15</v>
      </c>
      <c r="J20" s="79">
        <f>H20*(1+I20)</f>
        <v>9200</v>
      </c>
      <c r="K20" s="349">
        <f>J20*D20</f>
        <v>27600</v>
      </c>
      <c r="L20" s="350">
        <f>G20+J20</f>
        <v>700544.31500000006</v>
      </c>
      <c r="M20" s="351">
        <f>D20*L20</f>
        <v>2101632.9450000003</v>
      </c>
      <c r="N20" s="258"/>
      <c r="O20" s="258"/>
    </row>
    <row r="21" spans="1:15" ht="14.15" customHeight="1" x14ac:dyDescent="0.3">
      <c r="A21" s="370"/>
      <c r="B21" s="373"/>
      <c r="C21" s="3"/>
      <c r="D21" s="7"/>
      <c r="E21" s="37"/>
      <c r="F21" s="41"/>
      <c r="G21" s="348"/>
      <c r="H21" s="371"/>
      <c r="I21" s="66"/>
      <c r="J21" s="66"/>
      <c r="K21" s="349"/>
      <c r="L21" s="350"/>
      <c r="M21" s="351"/>
      <c r="N21" s="258"/>
      <c r="O21" s="258"/>
    </row>
    <row r="22" spans="1:15" ht="14.15" customHeight="1" x14ac:dyDescent="0.3">
      <c r="A22" s="370" t="s">
        <v>99</v>
      </c>
      <c r="B22" s="373"/>
      <c r="C22" s="3"/>
      <c r="D22" s="7"/>
      <c r="E22" s="37"/>
      <c r="F22" s="41"/>
      <c r="G22" s="348"/>
      <c r="H22" s="371"/>
      <c r="I22" s="66"/>
      <c r="J22" s="66"/>
      <c r="K22" s="349"/>
      <c r="L22" s="350"/>
      <c r="M22" s="351"/>
      <c r="N22" s="258"/>
      <c r="O22" s="258"/>
    </row>
    <row r="23" spans="1:15" ht="28.5" customHeight="1" thickBot="1" x14ac:dyDescent="0.35">
      <c r="A23" s="374"/>
      <c r="B23" s="375" t="s">
        <v>100</v>
      </c>
      <c r="C23" s="68" t="s">
        <v>90</v>
      </c>
      <c r="D23" s="68">
        <v>3</v>
      </c>
      <c r="E23" s="69">
        <f>1888.71*1.15</f>
        <v>2172.0164999999997</v>
      </c>
      <c r="F23" s="52">
        <v>0.2</v>
      </c>
      <c r="G23" s="376">
        <f>E23/(1-F23)</f>
        <v>2715.0206249999997</v>
      </c>
      <c r="H23" s="377">
        <f>250*1</f>
        <v>250</v>
      </c>
      <c r="I23" s="83">
        <v>0.15</v>
      </c>
      <c r="J23" s="79">
        <f>H23*(1+I23)</f>
        <v>287.5</v>
      </c>
      <c r="K23" s="349">
        <f>J23*D23</f>
        <v>862.5</v>
      </c>
      <c r="L23" s="350">
        <f>G23+J23</f>
        <v>3002.5206249999997</v>
      </c>
      <c r="M23" s="378">
        <f>D23*L23</f>
        <v>9007.5618749999994</v>
      </c>
      <c r="N23" s="258"/>
      <c r="O23" s="258"/>
    </row>
    <row r="24" spans="1:15" ht="14.5" customHeight="1" thickBot="1" x14ac:dyDescent="0.35">
      <c r="A24" s="354"/>
      <c r="B24" s="355"/>
      <c r="C24" s="97"/>
      <c r="D24" s="72"/>
      <c r="E24" s="73"/>
      <c r="F24" s="74"/>
      <c r="G24" s="356"/>
      <c r="H24" s="356"/>
      <c r="I24" s="73"/>
      <c r="J24" s="73"/>
      <c r="K24" s="357"/>
      <c r="L24" s="358"/>
      <c r="M24" s="358"/>
      <c r="N24" s="258"/>
      <c r="O24" s="258"/>
    </row>
    <row r="25" spans="1:15" ht="14.15" customHeight="1" x14ac:dyDescent="0.3">
      <c r="A25" s="379">
        <v>2.5</v>
      </c>
      <c r="B25" s="360"/>
      <c r="C25" s="255"/>
      <c r="D25" s="58" t="s">
        <v>101</v>
      </c>
      <c r="E25" s="56"/>
      <c r="F25" s="57"/>
      <c r="G25" s="361"/>
      <c r="H25" s="361"/>
      <c r="I25" s="56"/>
      <c r="J25" s="56"/>
      <c r="K25" s="362"/>
      <c r="L25" s="363"/>
      <c r="M25" s="363"/>
      <c r="N25" s="258"/>
      <c r="O25" s="258"/>
    </row>
    <row r="26" spans="1:15" ht="14.15" customHeight="1" x14ac:dyDescent="0.3">
      <c r="A26" s="380" t="s">
        <v>102</v>
      </c>
      <c r="B26" s="368" t="s">
        <v>103</v>
      </c>
      <c r="C26" s="7" t="s">
        <v>85</v>
      </c>
      <c r="D26" s="7">
        <v>1</v>
      </c>
      <c r="E26" s="37">
        <v>650</v>
      </c>
      <c r="F26" s="41">
        <v>0.2</v>
      </c>
      <c r="G26" s="348">
        <f>E26/(1-F26)</f>
        <v>812.5</v>
      </c>
      <c r="H26" s="371">
        <f>(((5*200)*4)*1.2)/D26</f>
        <v>4800</v>
      </c>
      <c r="I26" s="83">
        <v>0.15</v>
      </c>
      <c r="J26" s="79">
        <f>H26*(1+I26)</f>
        <v>5520</v>
      </c>
      <c r="K26" s="349">
        <f>J26*D26</f>
        <v>5520</v>
      </c>
      <c r="L26" s="350">
        <f>G26+J26</f>
        <v>6332.5</v>
      </c>
      <c r="M26" s="351">
        <f>D26*L26</f>
        <v>6332.5</v>
      </c>
      <c r="N26" s="258"/>
      <c r="O26" s="258"/>
    </row>
    <row r="27" spans="1:15" ht="14.5" customHeight="1" thickBot="1" x14ac:dyDescent="0.35">
      <c r="A27" s="381"/>
      <c r="B27" s="375" t="s">
        <v>104</v>
      </c>
      <c r="C27" s="49"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355"/>
      <c r="C28" s="97"/>
      <c r="D28" s="72"/>
      <c r="E28" s="73"/>
      <c r="F28" s="74"/>
      <c r="G28" s="356"/>
      <c r="H28" s="356"/>
      <c r="I28" s="73"/>
      <c r="J28" s="73"/>
      <c r="K28" s="357"/>
      <c r="L28" s="358"/>
      <c r="M28" s="358"/>
      <c r="N28" s="258"/>
      <c r="O28" s="258"/>
    </row>
    <row r="29" spans="1:15" ht="14.15" customHeight="1" x14ac:dyDescent="0.3">
      <c r="A29" s="359">
        <v>2.6</v>
      </c>
      <c r="B29" s="360"/>
      <c r="C29" s="255"/>
      <c r="D29" s="58" t="s">
        <v>105</v>
      </c>
      <c r="E29" s="56"/>
      <c r="F29" s="57"/>
      <c r="G29" s="361"/>
      <c r="H29" s="361"/>
      <c r="I29" s="56"/>
      <c r="J29" s="56"/>
      <c r="K29" s="362"/>
      <c r="L29" s="363"/>
      <c r="M29" s="363"/>
      <c r="N29" s="258"/>
      <c r="O29" s="258"/>
    </row>
    <row r="30" spans="1:15" ht="42" customHeight="1" x14ac:dyDescent="0.3">
      <c r="A30" s="341" t="s">
        <v>106</v>
      </c>
      <c r="B30" s="368" t="s">
        <v>107</v>
      </c>
      <c r="C30" s="248" t="s">
        <v>108</v>
      </c>
      <c r="D30" s="1">
        <v>0</v>
      </c>
      <c r="E30" s="36">
        <f>14.85*1.15</f>
        <v>17.077499999999997</v>
      </c>
      <c r="F30" s="41">
        <v>0.2</v>
      </c>
      <c r="G30" s="348">
        <f>E30/(1-F30)</f>
        <v>21.346874999999994</v>
      </c>
      <c r="H30" s="348">
        <f>39</f>
        <v>39</v>
      </c>
      <c r="I30" s="83">
        <v>0.15</v>
      </c>
      <c r="J30" s="79">
        <f>H30*(1+I30)</f>
        <v>44.849999999999994</v>
      </c>
      <c r="K30" s="349">
        <f>J30*D30</f>
        <v>0</v>
      </c>
      <c r="L30" s="350">
        <f>G30+J30</f>
        <v>66.196874999999991</v>
      </c>
      <c r="M30" s="351">
        <f>D30*L30</f>
        <v>0</v>
      </c>
      <c r="N30" s="258"/>
      <c r="O30" s="258"/>
    </row>
    <row r="31" spans="1:15" ht="14.15" customHeight="1" x14ac:dyDescent="0.3">
      <c r="A31" s="341" t="s">
        <v>109</v>
      </c>
      <c r="B31" s="373" t="s">
        <v>110</v>
      </c>
      <c r="C31" s="30" t="s">
        <v>108</v>
      </c>
      <c r="D31" s="1">
        <v>6</v>
      </c>
      <c r="E31" s="36">
        <f>180*1.15</f>
        <v>206.99999999999997</v>
      </c>
      <c r="F31" s="41">
        <v>0.2</v>
      </c>
      <c r="G31" s="348">
        <f>E31/(1-F31)</f>
        <v>258.74999999999994</v>
      </c>
      <c r="H31" s="348">
        <f>65</f>
        <v>65</v>
      </c>
      <c r="I31" s="83">
        <v>0.15</v>
      </c>
      <c r="J31" s="79">
        <f>H31*(1+I31)</f>
        <v>74.75</v>
      </c>
      <c r="K31" s="349">
        <f>J31*D31</f>
        <v>448.5</v>
      </c>
      <c r="L31" s="350">
        <f>G31+J31</f>
        <v>333.49999999999994</v>
      </c>
      <c r="M31" s="351">
        <f>D31*L31</f>
        <v>2000.9999999999995</v>
      </c>
      <c r="N31" s="258"/>
      <c r="O31" s="258"/>
    </row>
    <row r="32" spans="1:15" ht="14.15" customHeight="1" x14ac:dyDescent="0.3">
      <c r="A32" s="341" t="s">
        <v>111</v>
      </c>
      <c r="B32" s="373" t="s">
        <v>112</v>
      </c>
      <c r="C32" s="30"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258"/>
    </row>
    <row r="33" spans="1:15" ht="14.5" customHeight="1" thickBot="1" x14ac:dyDescent="0.35">
      <c r="A33" s="381"/>
      <c r="B33" s="383" t="s">
        <v>113</v>
      </c>
      <c r="C33" s="49"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355"/>
      <c r="C34" s="97"/>
      <c r="D34" s="72"/>
      <c r="E34" s="73"/>
      <c r="F34" s="74"/>
      <c r="G34" s="356"/>
      <c r="H34" s="356"/>
      <c r="I34" s="73"/>
      <c r="J34" s="73"/>
      <c r="K34" s="357"/>
      <c r="L34" s="358"/>
      <c r="M34" s="358"/>
      <c r="N34" s="258"/>
      <c r="O34" s="258"/>
    </row>
    <row r="35" spans="1:15" ht="14.15" customHeight="1" x14ac:dyDescent="0.3">
      <c r="A35" s="359">
        <v>2.7</v>
      </c>
      <c r="B35" s="360"/>
      <c r="C35" s="255"/>
      <c r="D35" s="58" t="s">
        <v>114</v>
      </c>
      <c r="E35" s="56"/>
      <c r="F35" s="57"/>
      <c r="G35" s="361"/>
      <c r="H35" s="361"/>
      <c r="I35" s="56"/>
      <c r="J35" s="56"/>
      <c r="K35" s="362"/>
      <c r="L35" s="363"/>
      <c r="M35" s="363"/>
      <c r="N35" s="258"/>
      <c r="O35" s="258"/>
    </row>
    <row r="36" spans="1:15" ht="28" customHeight="1" x14ac:dyDescent="0.3">
      <c r="A36" s="370" t="s">
        <v>115</v>
      </c>
      <c r="B36" s="368" t="s">
        <v>116</v>
      </c>
      <c r="C36" s="7" t="s">
        <v>85</v>
      </c>
      <c r="D36" s="7">
        <v>0</v>
      </c>
      <c r="E36" s="37">
        <f>13501.37*1.2</f>
        <v>16201.644</v>
      </c>
      <c r="F36" s="41">
        <v>0.2</v>
      </c>
      <c r="G36" s="348">
        <f>E36/(1-F36)</f>
        <v>20252.055</v>
      </c>
      <c r="H36" s="371">
        <f>250*2</f>
        <v>500</v>
      </c>
      <c r="I36" s="83">
        <v>0.15</v>
      </c>
      <c r="J36" s="79">
        <f>H36*(1+I36)</f>
        <v>575</v>
      </c>
      <c r="K36" s="349">
        <f>J36*D36</f>
        <v>0</v>
      </c>
      <c r="L36" s="350">
        <f>G36+J36</f>
        <v>20827.055</v>
      </c>
      <c r="M36" s="351">
        <f>D36*L36</f>
        <v>0</v>
      </c>
      <c r="N36" s="258"/>
      <c r="O36" s="258"/>
    </row>
    <row r="37" spans="1:15" ht="28.5" customHeight="1" thickBot="1" x14ac:dyDescent="0.35">
      <c r="A37" s="381" t="s">
        <v>117</v>
      </c>
      <c r="B37" s="375" t="s">
        <v>118</v>
      </c>
      <c r="C37" s="68" t="s">
        <v>85</v>
      </c>
      <c r="D37" s="68">
        <v>0</v>
      </c>
      <c r="E37" s="69">
        <f>13501.37*1.2</f>
        <v>16201.644</v>
      </c>
      <c r="F37" s="52">
        <v>0.2</v>
      </c>
      <c r="G37" s="376">
        <f>E37/(1-F37)</f>
        <v>20252.055</v>
      </c>
      <c r="H37" s="377">
        <f>250*2</f>
        <v>500</v>
      </c>
      <c r="I37" s="83">
        <v>0.15</v>
      </c>
      <c r="J37" s="79">
        <f>H37*(1+I37)</f>
        <v>575</v>
      </c>
      <c r="K37" s="382">
        <f>J37*D37</f>
        <v>0</v>
      </c>
      <c r="L37" s="350">
        <f>G37+J37</f>
        <v>20827.055</v>
      </c>
      <c r="M37" s="378">
        <f>D37*L37</f>
        <v>0</v>
      </c>
      <c r="N37" s="258"/>
      <c r="O37" s="258"/>
    </row>
    <row r="38" spans="1:15" ht="14.5" customHeight="1" thickBot="1" x14ac:dyDescent="0.35">
      <c r="A38" s="354"/>
      <c r="B38" s="355"/>
      <c r="C38" s="97"/>
      <c r="D38" s="72"/>
      <c r="E38" s="73"/>
      <c r="F38" s="74"/>
      <c r="G38" s="356"/>
      <c r="H38" s="356"/>
      <c r="I38" s="73"/>
      <c r="J38" s="73"/>
      <c r="K38" s="357"/>
      <c r="L38" s="358"/>
      <c r="M38" s="358"/>
      <c r="N38" s="258"/>
      <c r="O38" s="258"/>
    </row>
    <row r="39" spans="1:15" ht="16.5" customHeight="1" x14ac:dyDescent="0.3">
      <c r="A39" s="359">
        <v>2.8</v>
      </c>
      <c r="B39" s="360"/>
      <c r="C39" s="255"/>
      <c r="D39" s="58" t="s">
        <v>119</v>
      </c>
      <c r="E39" s="56"/>
      <c r="F39" s="57"/>
      <c r="G39" s="361"/>
      <c r="H39" s="361"/>
      <c r="I39" s="56"/>
      <c r="J39" s="56"/>
      <c r="K39" s="362"/>
      <c r="L39" s="363"/>
      <c r="M39" s="363"/>
      <c r="N39" s="258"/>
      <c r="O39" s="258"/>
    </row>
    <row r="40" spans="1:15" ht="16.5" customHeight="1" x14ac:dyDescent="0.3">
      <c r="A40" s="384"/>
      <c r="B40" s="342"/>
      <c r="C40" s="30"/>
      <c r="D40" s="1"/>
      <c r="E40" s="36"/>
      <c r="F40" s="41"/>
      <c r="G40" s="348"/>
      <c r="H40" s="348"/>
      <c r="I40" s="83"/>
      <c r="J40" s="79"/>
      <c r="K40" s="349"/>
      <c r="L40" s="350"/>
      <c r="M40" s="351"/>
      <c r="N40" s="258"/>
      <c r="O40" s="258"/>
    </row>
    <row r="41" spans="1:15" ht="14.15" customHeight="1" x14ac:dyDescent="0.3">
      <c r="A41" s="341" t="s">
        <v>120</v>
      </c>
      <c r="B41" s="385" t="s">
        <v>121</v>
      </c>
      <c r="C41" s="30" t="s">
        <v>85</v>
      </c>
      <c r="D41" s="1">
        <v>3</v>
      </c>
      <c r="E41" s="36">
        <v>2500</v>
      </c>
      <c r="F41" s="41">
        <v>0.2</v>
      </c>
      <c r="G41" s="348">
        <f>E41/(1-F41)</f>
        <v>3125</v>
      </c>
      <c r="H41" s="348">
        <f>(250+100)*4</f>
        <v>1400</v>
      </c>
      <c r="I41" s="83">
        <v>0.15</v>
      </c>
      <c r="J41" s="79">
        <f>H41*(1+I41)</f>
        <v>1609.9999999999998</v>
      </c>
      <c r="K41" s="349">
        <f>J41*D41</f>
        <v>4829.9999999999991</v>
      </c>
      <c r="L41" s="350">
        <f>G41+J41</f>
        <v>4735</v>
      </c>
      <c r="M41" s="351">
        <f>D41*L41</f>
        <v>14205</v>
      </c>
      <c r="N41" s="258"/>
      <c r="O41" s="258"/>
    </row>
    <row r="42" spans="1:15" ht="14.15" customHeight="1" x14ac:dyDescent="0.3">
      <c r="A42" s="341"/>
      <c r="B42" s="386"/>
      <c r="C42" s="103"/>
      <c r="D42" s="1"/>
      <c r="E42" s="36"/>
      <c r="F42" s="41"/>
      <c r="G42" s="348"/>
      <c r="H42" s="348"/>
      <c r="I42" s="79"/>
      <c r="J42" s="79"/>
      <c r="K42" s="349"/>
      <c r="L42" s="350"/>
      <c r="M42" s="351"/>
      <c r="N42" s="258"/>
      <c r="O42" s="258"/>
    </row>
    <row r="43" spans="1:15" ht="14.15" customHeight="1" x14ac:dyDescent="0.3">
      <c r="A43" s="341" t="s">
        <v>122</v>
      </c>
      <c r="B43" s="385" t="s">
        <v>123</v>
      </c>
      <c r="C43" s="30" t="s">
        <v>85</v>
      </c>
      <c r="D43" s="1">
        <v>0</v>
      </c>
      <c r="E43" s="36">
        <v>1800</v>
      </c>
      <c r="F43" s="41">
        <v>0.2</v>
      </c>
      <c r="G43" s="348">
        <f>E43/(1-F43)</f>
        <v>2250</v>
      </c>
      <c r="H43" s="348">
        <f>(250+100)*4</f>
        <v>1400</v>
      </c>
      <c r="I43" s="83">
        <v>0.15</v>
      </c>
      <c r="J43" s="79">
        <f>H43*(1+I43)</f>
        <v>1609.9999999999998</v>
      </c>
      <c r="K43" s="349">
        <f>J43*D43</f>
        <v>0</v>
      </c>
      <c r="L43" s="350">
        <f>G43+J43</f>
        <v>3860</v>
      </c>
      <c r="M43" s="351">
        <f>D43*L43</f>
        <v>0</v>
      </c>
      <c r="N43" s="258"/>
      <c r="O43" s="258"/>
    </row>
    <row r="44" spans="1:15" ht="14.15" customHeight="1" x14ac:dyDescent="0.3">
      <c r="A44" s="341"/>
      <c r="B44" s="385"/>
      <c r="C44" s="30"/>
      <c r="D44" s="1"/>
      <c r="E44" s="36"/>
      <c r="F44" s="41"/>
      <c r="G44" s="348"/>
      <c r="H44" s="348"/>
      <c r="I44" s="79"/>
      <c r="J44" s="79"/>
      <c r="K44" s="349"/>
      <c r="L44" s="350"/>
      <c r="M44" s="351"/>
      <c r="N44" s="258"/>
      <c r="O44" s="258"/>
    </row>
    <row r="45" spans="1:15" ht="14.15" customHeight="1" x14ac:dyDescent="0.3">
      <c r="A45" s="341" t="s">
        <v>124</v>
      </c>
      <c r="B45" s="385" t="s">
        <v>125</v>
      </c>
      <c r="C45" s="30" t="s">
        <v>85</v>
      </c>
      <c r="D45" s="1">
        <f>2 + N("Isolators")</f>
        <v>2</v>
      </c>
      <c r="E45" s="36">
        <v>1734.1</v>
      </c>
      <c r="F45" s="41">
        <v>0.2</v>
      </c>
      <c r="G45" s="348">
        <f>E45/(1-F45)</f>
        <v>2167.6249999999995</v>
      </c>
      <c r="H45" s="348">
        <f>(250+100)*4</f>
        <v>1400</v>
      </c>
      <c r="I45" s="83">
        <v>0.15</v>
      </c>
      <c r="J45" s="79">
        <f>H45*(1+I45)</f>
        <v>1609.9999999999998</v>
      </c>
      <c r="K45" s="349">
        <f>J45*D45</f>
        <v>3219.9999999999995</v>
      </c>
      <c r="L45" s="350">
        <f>G45+J45</f>
        <v>3777.6249999999991</v>
      </c>
      <c r="M45" s="351">
        <f>D45*L45</f>
        <v>7555.2499999999982</v>
      </c>
      <c r="N45" s="258"/>
      <c r="O45" s="258"/>
    </row>
    <row r="46" spans="1:15" ht="14.15" customHeight="1" x14ac:dyDescent="0.3">
      <c r="A46" s="341"/>
      <c r="B46" s="387"/>
      <c r="C46" s="103"/>
      <c r="D46" s="1"/>
      <c r="E46" s="36"/>
      <c r="F46" s="41"/>
      <c r="G46" s="348"/>
      <c r="H46" s="348"/>
      <c r="I46" s="79"/>
      <c r="J46" s="79"/>
      <c r="K46" s="349"/>
      <c r="L46" s="350"/>
      <c r="M46" s="351"/>
      <c r="N46" s="258"/>
      <c r="O46" s="258"/>
    </row>
    <row r="47" spans="1:15" ht="14.5" customHeight="1" thickBot="1" x14ac:dyDescent="0.35">
      <c r="A47" s="381" t="s">
        <v>126</v>
      </c>
      <c r="B47" s="388" t="s">
        <v>127</v>
      </c>
      <c r="C47" s="49" t="s">
        <v>85</v>
      </c>
      <c r="D47" s="50">
        <v>1</v>
      </c>
      <c r="E47" s="51">
        <f>550*1.2</f>
        <v>660</v>
      </c>
      <c r="F47" s="52">
        <v>0.2</v>
      </c>
      <c r="G47" s="376">
        <f>E47/(1-F47)</f>
        <v>825</v>
      </c>
      <c r="H47" s="376">
        <f>(250+100)*4</f>
        <v>1400</v>
      </c>
      <c r="I47" s="83">
        <v>0.15</v>
      </c>
      <c r="J47" s="79">
        <f>H47*(1+I47)</f>
        <v>1609.9999999999998</v>
      </c>
      <c r="K47" s="349">
        <f>J47*D47</f>
        <v>1609.9999999999998</v>
      </c>
      <c r="L47" s="350">
        <f>G47+J47</f>
        <v>2435</v>
      </c>
      <c r="M47" s="378">
        <f>D47*L47</f>
        <v>2435</v>
      </c>
      <c r="N47" s="258"/>
      <c r="O47" s="258"/>
    </row>
    <row r="48" spans="1:15" ht="14.5" customHeight="1" thickBot="1" x14ac:dyDescent="0.35">
      <c r="A48" s="354"/>
      <c r="B48" s="355"/>
      <c r="C48" s="97"/>
      <c r="D48" s="72"/>
      <c r="E48" s="73"/>
      <c r="F48" s="74"/>
      <c r="G48" s="356"/>
      <c r="H48" s="356"/>
      <c r="I48" s="73"/>
      <c r="J48" s="73"/>
      <c r="K48" s="357"/>
      <c r="L48" s="358"/>
      <c r="M48" s="358"/>
      <c r="N48" s="258"/>
      <c r="O48" s="258"/>
    </row>
    <row r="49" spans="1:15" ht="16.5" customHeight="1" x14ac:dyDescent="0.3">
      <c r="A49" s="359">
        <v>2.9</v>
      </c>
      <c r="B49" s="367"/>
      <c r="C49" s="255"/>
      <c r="D49" s="58" t="s">
        <v>128</v>
      </c>
      <c r="E49" s="56"/>
      <c r="F49" s="57"/>
      <c r="G49" s="361"/>
      <c r="H49" s="361"/>
      <c r="I49" s="56"/>
      <c r="J49" s="56"/>
      <c r="K49" s="362"/>
      <c r="L49" s="363"/>
      <c r="M49" s="363"/>
      <c r="N49" s="258"/>
      <c r="O49" s="258"/>
    </row>
    <row r="50" spans="1:15" ht="16.5" customHeight="1" x14ac:dyDescent="0.3">
      <c r="A50" s="341"/>
      <c r="B50" s="342"/>
      <c r="C50" s="30"/>
      <c r="D50" s="1"/>
      <c r="E50" s="36"/>
      <c r="F50" s="41"/>
      <c r="G50" s="348"/>
      <c r="H50" s="348"/>
      <c r="I50" s="79"/>
      <c r="J50" s="79"/>
      <c r="K50" s="349"/>
      <c r="L50" s="350"/>
      <c r="M50" s="351"/>
      <c r="N50" s="258"/>
      <c r="O50" s="258"/>
    </row>
    <row r="51" spans="1:15" ht="14.15" customHeight="1" x14ac:dyDescent="0.3">
      <c r="A51" s="341" t="s">
        <v>129</v>
      </c>
      <c r="B51" s="385" t="s">
        <v>130</v>
      </c>
      <c r="C51" s="30" t="s">
        <v>85</v>
      </c>
      <c r="D51" s="1">
        <v>0</v>
      </c>
      <c r="E51" s="36">
        <v>2500</v>
      </c>
      <c r="F51" s="41">
        <v>0.2</v>
      </c>
      <c r="G51" s="348">
        <f>E51/(1-F51)</f>
        <v>3125</v>
      </c>
      <c r="H51" s="348">
        <f>250*1</f>
        <v>250</v>
      </c>
      <c r="I51" s="83">
        <v>0.15</v>
      </c>
      <c r="J51" s="79">
        <f>H51*(1+I51)</f>
        <v>287.5</v>
      </c>
      <c r="K51" s="349">
        <f>J51*D51</f>
        <v>0</v>
      </c>
      <c r="L51" s="350">
        <f>G51+J51</f>
        <v>3412.5</v>
      </c>
      <c r="M51" s="351">
        <f>D51*L51</f>
        <v>0</v>
      </c>
      <c r="N51" s="258"/>
      <c r="O51" s="258"/>
    </row>
    <row r="52" spans="1:15" ht="14.15" customHeight="1" x14ac:dyDescent="0.3">
      <c r="A52" s="341"/>
      <c r="B52" s="385"/>
      <c r="C52" s="30"/>
      <c r="D52" s="1"/>
      <c r="E52" s="36"/>
      <c r="F52" s="41"/>
      <c r="G52" s="348"/>
      <c r="H52" s="348"/>
      <c r="I52" s="79"/>
      <c r="J52" s="79"/>
      <c r="K52" s="349"/>
      <c r="L52" s="350"/>
      <c r="M52" s="351"/>
      <c r="N52" s="258"/>
      <c r="O52" s="258"/>
    </row>
    <row r="53" spans="1:15" ht="14.15" customHeight="1" x14ac:dyDescent="0.3">
      <c r="A53" s="341" t="s">
        <v>131</v>
      </c>
      <c r="B53" s="385" t="s">
        <v>132</v>
      </c>
      <c r="C53" s="30" t="s">
        <v>85</v>
      </c>
      <c r="D53" s="1">
        <v>3</v>
      </c>
      <c r="E53" s="36">
        <v>5729</v>
      </c>
      <c r="F53" s="41">
        <v>0.2</v>
      </c>
      <c r="G53" s="348">
        <f>E53/(1-F53)</f>
        <v>7161.25</v>
      </c>
      <c r="H53" s="348">
        <v>250</v>
      </c>
      <c r="I53" s="83">
        <v>0.15</v>
      </c>
      <c r="J53" s="79">
        <f>H53*(1+I53)</f>
        <v>287.5</v>
      </c>
      <c r="K53" s="349">
        <f>J53*D53</f>
        <v>862.5</v>
      </c>
      <c r="L53" s="350">
        <f>G53+J53</f>
        <v>7448.75</v>
      </c>
      <c r="M53" s="351">
        <f>D53*L53</f>
        <v>22346.25</v>
      </c>
      <c r="N53" s="258"/>
      <c r="O53" s="258"/>
    </row>
    <row r="54" spans="1:15" ht="14.15" customHeight="1" x14ac:dyDescent="0.3">
      <c r="A54" s="341"/>
      <c r="B54" s="387"/>
      <c r="C54" s="103"/>
      <c r="D54" s="1"/>
      <c r="E54" s="36"/>
      <c r="F54" s="41"/>
      <c r="G54" s="348"/>
      <c r="H54" s="348"/>
      <c r="I54" s="79"/>
      <c r="J54" s="79"/>
      <c r="K54" s="349"/>
      <c r="L54" s="350"/>
      <c r="M54" s="351"/>
      <c r="N54" s="258"/>
      <c r="O54" s="258"/>
    </row>
    <row r="55" spans="1:15" ht="14.15" customHeight="1" x14ac:dyDescent="0.3">
      <c r="A55" s="341" t="s">
        <v>133</v>
      </c>
      <c r="B55" s="387" t="s">
        <v>134</v>
      </c>
      <c r="C55" s="30" t="s">
        <v>85</v>
      </c>
      <c r="D55" s="1">
        <v>1</v>
      </c>
      <c r="E55" s="36">
        <f>5729</f>
        <v>5729</v>
      </c>
      <c r="F55" s="41">
        <v>0.2</v>
      </c>
      <c r="G55" s="348">
        <f>E55/(1-F55)</f>
        <v>7161.25</v>
      </c>
      <c r="H55" s="348">
        <v>250</v>
      </c>
      <c r="I55" s="83">
        <v>0.15</v>
      </c>
      <c r="J55" s="79">
        <f>H55*(1+I55)</f>
        <v>287.5</v>
      </c>
      <c r="K55" s="349">
        <f>J55*D55</f>
        <v>287.5</v>
      </c>
      <c r="L55" s="350">
        <f>G55+J55</f>
        <v>7448.75</v>
      </c>
      <c r="M55" s="351">
        <f>D55*L55</f>
        <v>7448.75</v>
      </c>
      <c r="N55" s="258"/>
      <c r="O55" s="258"/>
    </row>
    <row r="56" spans="1:15" ht="14.15" customHeight="1" x14ac:dyDescent="0.3">
      <c r="A56" s="341"/>
      <c r="B56" s="387"/>
      <c r="C56" s="96"/>
      <c r="D56" s="1"/>
      <c r="E56" s="36"/>
      <c r="F56" s="41"/>
      <c r="G56" s="348"/>
      <c r="H56" s="348"/>
      <c r="I56" s="79"/>
      <c r="J56" s="79"/>
      <c r="K56" s="349"/>
      <c r="L56" s="350"/>
      <c r="M56" s="351"/>
      <c r="N56" s="258"/>
      <c r="O56" s="258"/>
    </row>
    <row r="57" spans="1:15" ht="28" customHeight="1" x14ac:dyDescent="0.3">
      <c r="A57" s="341" t="s">
        <v>135</v>
      </c>
      <c r="B57" s="385" t="s">
        <v>136</v>
      </c>
      <c r="C57" s="248" t="s">
        <v>85</v>
      </c>
      <c r="D57" s="1">
        <v>3</v>
      </c>
      <c r="E57" s="36">
        <v>350</v>
      </c>
      <c r="F57" s="41">
        <v>0.2</v>
      </c>
      <c r="G57" s="348">
        <f>E57/(1-F57)</f>
        <v>437.5</v>
      </c>
      <c r="H57" s="348">
        <v>250</v>
      </c>
      <c r="I57" s="83">
        <v>0.15</v>
      </c>
      <c r="J57" s="79">
        <f>H57*(1+I57)</f>
        <v>287.5</v>
      </c>
      <c r="K57" s="349">
        <f>J57*D57</f>
        <v>862.5</v>
      </c>
      <c r="L57" s="350">
        <f>G57+J57</f>
        <v>725</v>
      </c>
      <c r="M57" s="351">
        <f>D57*L57</f>
        <v>2175</v>
      </c>
      <c r="N57" s="258"/>
      <c r="O57" s="258"/>
    </row>
    <row r="58" spans="1:15" ht="14.15" customHeight="1" x14ac:dyDescent="0.3">
      <c r="A58" s="341"/>
      <c r="B58" s="387"/>
      <c r="C58" s="93"/>
      <c r="D58" s="1"/>
      <c r="E58" s="36"/>
      <c r="F58" s="41"/>
      <c r="G58" s="348"/>
      <c r="H58" s="348"/>
      <c r="I58" s="79"/>
      <c r="J58" s="79"/>
      <c r="K58" s="349"/>
      <c r="L58" s="350"/>
      <c r="M58" s="351"/>
      <c r="N58" s="258"/>
      <c r="O58" s="258"/>
    </row>
    <row r="59" spans="1:15" ht="14.15" customHeight="1" x14ac:dyDescent="0.3">
      <c r="A59" s="341" t="s">
        <v>137</v>
      </c>
      <c r="B59" s="385" t="s">
        <v>138</v>
      </c>
      <c r="C59" s="248" t="s">
        <v>108</v>
      </c>
      <c r="D59" s="1">
        <v>20</v>
      </c>
      <c r="E59" s="36">
        <f>35</f>
        <v>35</v>
      </c>
      <c r="F59" s="41">
        <v>0.2</v>
      </c>
      <c r="G59" s="348">
        <f>E59/(1-F59)</f>
        <v>43.75</v>
      </c>
      <c r="H59" s="348">
        <f>(65*3)</f>
        <v>195</v>
      </c>
      <c r="I59" s="83">
        <v>0.15</v>
      </c>
      <c r="J59" s="79">
        <f>H59*(1+I59)</f>
        <v>224.24999999999997</v>
      </c>
      <c r="K59" s="349">
        <f>J59*D59</f>
        <v>4484.9999999999991</v>
      </c>
      <c r="L59" s="350">
        <f>G59+J59</f>
        <v>268</v>
      </c>
      <c r="M59" s="351">
        <f>D59*L59</f>
        <v>5360</v>
      </c>
      <c r="N59" s="258"/>
      <c r="O59" s="258"/>
    </row>
    <row r="60" spans="1:15" ht="14.15" customHeight="1" x14ac:dyDescent="0.3">
      <c r="A60" s="341"/>
      <c r="B60" s="387"/>
      <c r="C60" s="96"/>
      <c r="D60" s="1"/>
      <c r="E60" s="36"/>
      <c r="F60" s="41"/>
      <c r="G60" s="348"/>
      <c r="H60" s="348"/>
      <c r="I60" s="79"/>
      <c r="J60" s="79"/>
      <c r="K60" s="349"/>
      <c r="L60" s="350"/>
      <c r="M60" s="351"/>
      <c r="N60" s="258"/>
      <c r="O60" s="258"/>
    </row>
    <row r="61" spans="1:15" ht="14.5" customHeight="1" thickBot="1" x14ac:dyDescent="0.35">
      <c r="A61" s="341" t="s">
        <v>139</v>
      </c>
      <c r="B61" s="385" t="s">
        <v>140</v>
      </c>
      <c r="C61" s="30" t="s">
        <v>42</v>
      </c>
      <c r="D61" s="1">
        <v>1</v>
      </c>
      <c r="E61" s="36">
        <v>1</v>
      </c>
      <c r="F61" s="41">
        <v>0.2</v>
      </c>
      <c r="G61" s="348">
        <f>E61/(1-F61)</f>
        <v>1.25</v>
      </c>
      <c r="H61" s="348">
        <f>2500*3</f>
        <v>7500</v>
      </c>
      <c r="I61" s="83">
        <v>0.15</v>
      </c>
      <c r="J61" s="79">
        <f>H61*(1+I61)</f>
        <v>8625</v>
      </c>
      <c r="K61" s="349">
        <f>J61*D61</f>
        <v>8625</v>
      </c>
      <c r="L61" s="350">
        <f>G61+J61</f>
        <v>8626.25</v>
      </c>
      <c r="M61" s="351">
        <f>D61*L61</f>
        <v>8626.25</v>
      </c>
      <c r="N61" s="258"/>
      <c r="O61" s="258"/>
    </row>
    <row r="62" spans="1:15" ht="14.5" customHeight="1" thickBot="1" x14ac:dyDescent="0.35">
      <c r="A62" s="354"/>
      <c r="B62" s="355"/>
      <c r="C62" s="97"/>
      <c r="D62" s="72"/>
      <c r="E62" s="73"/>
      <c r="F62" s="74"/>
      <c r="G62" s="356"/>
      <c r="H62" s="356"/>
      <c r="I62" s="73"/>
      <c r="J62" s="73"/>
      <c r="K62" s="357"/>
      <c r="L62" s="358"/>
      <c r="M62" s="358"/>
      <c r="N62" s="258"/>
      <c r="O62" s="258"/>
    </row>
    <row r="63" spans="1:15" ht="14.15" customHeight="1" x14ac:dyDescent="0.3">
      <c r="A63" s="389">
        <v>2.1</v>
      </c>
      <c r="B63" s="390"/>
      <c r="C63" s="251"/>
      <c r="D63" s="65" t="s">
        <v>141</v>
      </c>
      <c r="E63" s="53"/>
      <c r="F63" s="54"/>
      <c r="G63" s="391"/>
      <c r="H63" s="391"/>
      <c r="I63" s="53"/>
      <c r="J63" s="53"/>
      <c r="K63" s="392"/>
      <c r="L63" s="393"/>
      <c r="M63" s="393"/>
      <c r="N63" s="258"/>
      <c r="O63" s="258"/>
    </row>
    <row r="64" spans="1:15" ht="28" customHeight="1" x14ac:dyDescent="0.3">
      <c r="A64" s="370" t="s">
        <v>142</v>
      </c>
      <c r="B64" s="368" t="s">
        <v>143</v>
      </c>
      <c r="C64" s="7" t="s">
        <v>90</v>
      </c>
      <c r="D64" s="7">
        <v>3</v>
      </c>
      <c r="E64" s="37">
        <v>10000</v>
      </c>
      <c r="F64" s="41">
        <v>0.16</v>
      </c>
      <c r="G64" s="348">
        <f>E64/(1-F64)</f>
        <v>11904.761904761905</v>
      </c>
      <c r="H64" s="371">
        <v>200</v>
      </c>
      <c r="I64" s="83">
        <v>0.15</v>
      </c>
      <c r="J64" s="79">
        <f>H64*(1+I64)</f>
        <v>229.99999999999997</v>
      </c>
      <c r="K64" s="349">
        <f>J64*D64</f>
        <v>689.99999999999989</v>
      </c>
      <c r="L64" s="350">
        <f>G64+J64</f>
        <v>12134.761904761905</v>
      </c>
      <c r="M64" s="351">
        <f>D64*L64</f>
        <v>36404.28571428571</v>
      </c>
      <c r="N64" s="258"/>
      <c r="O64" s="258"/>
    </row>
    <row r="65" spans="1:15" ht="14.15" customHeight="1" x14ac:dyDescent="0.3">
      <c r="A65" s="394"/>
      <c r="B65" s="395"/>
      <c r="C65" s="248"/>
      <c r="D65" s="248"/>
      <c r="E65" s="36"/>
      <c r="F65" s="41"/>
      <c r="G65" s="348"/>
      <c r="H65" s="348"/>
      <c r="I65" s="79"/>
      <c r="J65" s="79"/>
      <c r="K65" s="349"/>
      <c r="L65" s="350"/>
      <c r="M65" s="351"/>
      <c r="N65" s="258"/>
      <c r="O65" s="258"/>
    </row>
    <row r="66" spans="1:15" ht="28.5" customHeight="1" thickBot="1" x14ac:dyDescent="0.35">
      <c r="A66" s="396" t="s">
        <v>144</v>
      </c>
      <c r="B66" s="375" t="s">
        <v>145</v>
      </c>
      <c r="C66" s="68" t="s">
        <v>90</v>
      </c>
      <c r="D66" s="68">
        <v>0</v>
      </c>
      <c r="E66" s="69">
        <v>7500</v>
      </c>
      <c r="F66" s="52">
        <v>0.16</v>
      </c>
      <c r="G66" s="376">
        <f>E66/(1-F66)</f>
        <v>8928.5714285714294</v>
      </c>
      <c r="H66" s="377">
        <v>200</v>
      </c>
      <c r="I66" s="83">
        <v>0.15</v>
      </c>
      <c r="J66" s="79">
        <f>H66*(1+I66)</f>
        <v>229.99999999999997</v>
      </c>
      <c r="K66" s="382">
        <f>J66*D66</f>
        <v>0</v>
      </c>
      <c r="L66" s="350">
        <f>G66+J66</f>
        <v>9158.5714285714294</v>
      </c>
      <c r="M66" s="378">
        <f>D66*L66</f>
        <v>0</v>
      </c>
      <c r="N66" s="258"/>
      <c r="O66" s="258"/>
    </row>
    <row r="67" spans="1:15" ht="14.5" customHeight="1" thickBot="1" x14ac:dyDescent="0.35">
      <c r="A67" s="397"/>
      <c r="B67" s="398"/>
      <c r="C67" s="97"/>
      <c r="D67" s="72"/>
      <c r="E67" s="73"/>
      <c r="F67" s="74"/>
      <c r="G67" s="356"/>
      <c r="H67" s="356"/>
      <c r="I67" s="73"/>
      <c r="J67" s="73"/>
      <c r="K67" s="357"/>
      <c r="L67" s="358"/>
      <c r="M67" s="358"/>
      <c r="N67" s="258"/>
      <c r="O67" s="258"/>
    </row>
    <row r="68" spans="1:15" ht="14.15" customHeight="1" x14ac:dyDescent="0.3">
      <c r="A68" s="359">
        <v>2.11</v>
      </c>
      <c r="B68" s="399"/>
      <c r="C68" s="100"/>
      <c r="D68" s="58" t="s">
        <v>146</v>
      </c>
      <c r="E68" s="56"/>
      <c r="F68" s="57"/>
      <c r="G68" s="361"/>
      <c r="H68" s="361"/>
      <c r="I68" s="56"/>
      <c r="J68" s="56"/>
      <c r="K68" s="362"/>
      <c r="L68" s="363"/>
      <c r="M68" s="363"/>
      <c r="N68" s="258"/>
      <c r="O68" s="258"/>
    </row>
    <row r="69" spans="1:15" ht="14.15" customHeight="1" x14ac:dyDescent="0.3">
      <c r="A69" s="341"/>
      <c r="B69" s="368"/>
      <c r="C69" s="104"/>
      <c r="D69" s="1"/>
      <c r="E69" s="36"/>
      <c r="F69" s="41"/>
      <c r="G69" s="348"/>
      <c r="H69" s="348"/>
      <c r="I69" s="79"/>
      <c r="J69" s="79"/>
      <c r="K69" s="349"/>
      <c r="L69" s="350"/>
      <c r="M69" s="351"/>
      <c r="N69" s="258"/>
      <c r="O69" s="258"/>
    </row>
    <row r="70" spans="1:15" ht="14.15" customHeight="1" x14ac:dyDescent="0.3">
      <c r="A70" s="341"/>
      <c r="B70" s="373" t="s">
        <v>147</v>
      </c>
      <c r="C70" s="103"/>
      <c r="D70" s="1"/>
      <c r="E70" s="36"/>
      <c r="F70" s="41"/>
      <c r="G70" s="348"/>
      <c r="H70" s="348"/>
      <c r="I70" s="79"/>
      <c r="J70" s="79"/>
      <c r="K70" s="349"/>
      <c r="L70" s="350"/>
      <c r="M70" s="351"/>
      <c r="N70" s="258"/>
      <c r="O70" s="258"/>
    </row>
    <row r="71" spans="1:15" ht="14.15" customHeight="1" x14ac:dyDescent="0.3">
      <c r="A71" s="341"/>
      <c r="B71" s="386"/>
      <c r="C71" s="103"/>
      <c r="D71" s="1"/>
      <c r="E71" s="36"/>
      <c r="F71" s="41"/>
      <c r="G71" s="348"/>
      <c r="H71" s="348"/>
      <c r="I71" s="79"/>
      <c r="J71" s="79"/>
      <c r="K71" s="349"/>
      <c r="L71" s="350"/>
      <c r="M71" s="351"/>
      <c r="N71" s="258"/>
      <c r="O71" s="258"/>
    </row>
    <row r="72" spans="1:15" ht="42" customHeight="1" x14ac:dyDescent="0.3">
      <c r="A72" s="341"/>
      <c r="B72" s="386" t="s">
        <v>148</v>
      </c>
      <c r="C72" s="103"/>
      <c r="D72" s="248"/>
      <c r="E72" s="36"/>
      <c r="F72" s="41"/>
      <c r="G72" s="348"/>
      <c r="H72" s="348"/>
      <c r="I72" s="79"/>
      <c r="J72" s="79"/>
      <c r="K72" s="349"/>
      <c r="L72" s="350"/>
      <c r="M72" s="351"/>
      <c r="N72" s="258"/>
      <c r="O72" s="258"/>
    </row>
    <row r="73" spans="1:15" ht="14.15" customHeight="1" x14ac:dyDescent="0.3">
      <c r="A73" s="384"/>
      <c r="B73" s="373"/>
      <c r="C73" s="103"/>
      <c r="D73" s="28"/>
      <c r="E73" s="38"/>
      <c r="F73" s="41"/>
      <c r="G73" s="348"/>
      <c r="H73" s="400"/>
      <c r="I73" s="81"/>
      <c r="J73" s="81"/>
      <c r="K73" s="349"/>
      <c r="L73" s="350"/>
      <c r="M73" s="351"/>
      <c r="N73" s="258"/>
      <c r="O73" s="258"/>
    </row>
    <row r="74" spans="1:15" ht="14.15" customHeight="1" x14ac:dyDescent="0.3">
      <c r="A74" s="341" t="s">
        <v>149</v>
      </c>
      <c r="B74" s="373" t="s">
        <v>150</v>
      </c>
      <c r="C74" s="103" t="s">
        <v>108</v>
      </c>
      <c r="D74" s="1">
        <v>12</v>
      </c>
      <c r="E74" s="36">
        <v>947.75</v>
      </c>
      <c r="F74" s="41">
        <v>0.25</v>
      </c>
      <c r="G74" s="348">
        <f t="shared" ref="G74:G79" si="0">E74/(1-F74)</f>
        <v>1263.6666666666667</v>
      </c>
      <c r="H74" s="348">
        <v>25</v>
      </c>
      <c r="I74" s="83">
        <v>0.15</v>
      </c>
      <c r="J74" s="79">
        <f t="shared" ref="J74:J79" si="1">H74*(1+I74)</f>
        <v>28.749999999999996</v>
      </c>
      <c r="K74" s="349">
        <f t="shared" ref="K74:K79" si="2">J74*D74</f>
        <v>344.99999999999994</v>
      </c>
      <c r="L74" s="350">
        <f t="shared" ref="L74:L79" si="3">G74+J74</f>
        <v>1292.4166666666667</v>
      </c>
      <c r="M74" s="351">
        <f t="shared" ref="M74:M79" si="4">D74*L74</f>
        <v>15509</v>
      </c>
      <c r="N74" s="258"/>
      <c r="O74" s="258"/>
    </row>
    <row r="75" spans="1:15" ht="14.15" customHeight="1" x14ac:dyDescent="0.3">
      <c r="A75" s="341" t="s">
        <v>151</v>
      </c>
      <c r="B75" s="373" t="s">
        <v>152</v>
      </c>
      <c r="C75" s="103" t="s">
        <v>108</v>
      </c>
      <c r="D75" s="1">
        <v>0</v>
      </c>
      <c r="E75" s="36">
        <v>686.12</v>
      </c>
      <c r="F75" s="41">
        <v>0.25</v>
      </c>
      <c r="G75" s="348">
        <f t="shared" si="0"/>
        <v>914.82666666666671</v>
      </c>
      <c r="H75" s="348">
        <v>25</v>
      </c>
      <c r="I75" s="83">
        <v>0.15</v>
      </c>
      <c r="J75" s="79">
        <f t="shared" si="1"/>
        <v>28.749999999999996</v>
      </c>
      <c r="K75" s="349">
        <f t="shared" si="2"/>
        <v>0</v>
      </c>
      <c r="L75" s="350">
        <f t="shared" si="3"/>
        <v>943.57666666666671</v>
      </c>
      <c r="M75" s="351">
        <f t="shared" si="4"/>
        <v>0</v>
      </c>
      <c r="N75" s="258"/>
      <c r="O75" s="258"/>
    </row>
    <row r="76" spans="1:15" ht="14.15" customHeight="1" x14ac:dyDescent="0.3">
      <c r="A76" s="341" t="s">
        <v>153</v>
      </c>
      <c r="B76" s="373" t="s">
        <v>154</v>
      </c>
      <c r="C76" s="103" t="s">
        <v>108</v>
      </c>
      <c r="D76" s="1">
        <v>0</v>
      </c>
      <c r="E76" s="36">
        <v>634</v>
      </c>
      <c r="F76" s="41">
        <v>0.25</v>
      </c>
      <c r="G76" s="348">
        <f t="shared" si="0"/>
        <v>845.33333333333337</v>
      </c>
      <c r="H76" s="348">
        <v>25</v>
      </c>
      <c r="I76" s="83">
        <v>0.15</v>
      </c>
      <c r="J76" s="79">
        <f t="shared" si="1"/>
        <v>28.749999999999996</v>
      </c>
      <c r="K76" s="349">
        <f t="shared" si="2"/>
        <v>0</v>
      </c>
      <c r="L76" s="350">
        <f t="shared" si="3"/>
        <v>874.08333333333337</v>
      </c>
      <c r="M76" s="351">
        <f t="shared" si="4"/>
        <v>0</v>
      </c>
      <c r="N76" s="258"/>
      <c r="O76" s="258"/>
    </row>
    <row r="77" spans="1:15" ht="14.15" customHeight="1" x14ac:dyDescent="0.3">
      <c r="A77" s="341" t="s">
        <v>155</v>
      </c>
      <c r="B77" s="373" t="s">
        <v>156</v>
      </c>
      <c r="C77" s="96" t="s">
        <v>108</v>
      </c>
      <c r="D77" s="1">
        <v>0</v>
      </c>
      <c r="E77" s="36">
        <v>450</v>
      </c>
      <c r="F77" s="41">
        <v>0.25</v>
      </c>
      <c r="G77" s="348">
        <f t="shared" si="0"/>
        <v>600</v>
      </c>
      <c r="H77" s="348">
        <v>25</v>
      </c>
      <c r="I77" s="83">
        <v>0.15</v>
      </c>
      <c r="J77" s="79">
        <f t="shared" si="1"/>
        <v>28.749999999999996</v>
      </c>
      <c r="K77" s="349">
        <f t="shared" si="2"/>
        <v>0</v>
      </c>
      <c r="L77" s="350">
        <f t="shared" si="3"/>
        <v>628.75</v>
      </c>
      <c r="M77" s="351">
        <f t="shared" si="4"/>
        <v>0</v>
      </c>
      <c r="N77" s="258"/>
      <c r="O77" s="258"/>
    </row>
    <row r="78" spans="1:15" ht="14.15" customHeight="1" x14ac:dyDescent="0.3">
      <c r="A78" s="341" t="s">
        <v>157</v>
      </c>
      <c r="B78" s="373" t="s">
        <v>158</v>
      </c>
      <c r="C78" s="96" t="s">
        <v>108</v>
      </c>
      <c r="D78" s="1">
        <v>0</v>
      </c>
      <c r="E78" s="36">
        <v>380</v>
      </c>
      <c r="F78" s="41">
        <v>0.25</v>
      </c>
      <c r="G78" s="348">
        <f t="shared" si="0"/>
        <v>506.66666666666669</v>
      </c>
      <c r="H78" s="348">
        <v>25</v>
      </c>
      <c r="I78" s="83">
        <v>0.15</v>
      </c>
      <c r="J78" s="79">
        <f t="shared" si="1"/>
        <v>28.749999999999996</v>
      </c>
      <c r="K78" s="349">
        <f t="shared" si="2"/>
        <v>0</v>
      </c>
      <c r="L78" s="350">
        <f t="shared" si="3"/>
        <v>535.41666666666663</v>
      </c>
      <c r="M78" s="351">
        <f t="shared" si="4"/>
        <v>0</v>
      </c>
      <c r="N78" s="258"/>
      <c r="O78" s="258"/>
    </row>
    <row r="79" spans="1:15" ht="14.5" customHeight="1" thickBot="1" x14ac:dyDescent="0.35">
      <c r="A79" s="381" t="s">
        <v>159</v>
      </c>
      <c r="B79" s="375" t="s">
        <v>160</v>
      </c>
      <c r="C79" s="99" t="s">
        <v>108</v>
      </c>
      <c r="D79" s="50">
        <v>0</v>
      </c>
      <c r="E79" s="51">
        <f>215</f>
        <v>215</v>
      </c>
      <c r="F79" s="52">
        <v>0.25</v>
      </c>
      <c r="G79" s="376">
        <f t="shared" si="0"/>
        <v>286.66666666666669</v>
      </c>
      <c r="H79" s="376">
        <v>25</v>
      </c>
      <c r="I79" s="83">
        <v>0.15</v>
      </c>
      <c r="J79" s="79">
        <f t="shared" si="1"/>
        <v>28.749999999999996</v>
      </c>
      <c r="K79" s="349">
        <f t="shared" si="2"/>
        <v>0</v>
      </c>
      <c r="L79" s="350">
        <f t="shared" si="3"/>
        <v>315.41666666666669</v>
      </c>
      <c r="M79" s="378">
        <f t="shared" si="4"/>
        <v>0</v>
      </c>
      <c r="N79" s="258"/>
      <c r="O79" s="258"/>
    </row>
    <row r="80" spans="1:15" ht="14.5" customHeight="1" thickBot="1" x14ac:dyDescent="0.35">
      <c r="A80" s="397"/>
      <c r="B80" s="398"/>
      <c r="C80" s="97"/>
      <c r="D80" s="72"/>
      <c r="E80" s="73"/>
      <c r="F80" s="74"/>
      <c r="G80" s="356"/>
      <c r="H80" s="356"/>
      <c r="I80" s="73"/>
      <c r="J80" s="73"/>
      <c r="K80" s="357"/>
      <c r="L80" s="358"/>
      <c r="M80" s="358"/>
      <c r="N80" s="258"/>
      <c r="O80" s="258"/>
    </row>
    <row r="81" spans="1:15" ht="14.15" customHeight="1" x14ac:dyDescent="0.3">
      <c r="A81" s="359">
        <v>2.12</v>
      </c>
      <c r="B81" s="399"/>
      <c r="C81" s="100"/>
      <c r="D81" s="58" t="s">
        <v>161</v>
      </c>
      <c r="E81" s="56"/>
      <c r="F81" s="57"/>
      <c r="G81" s="361"/>
      <c r="H81" s="361"/>
      <c r="I81" s="56"/>
      <c r="J81" s="56"/>
      <c r="K81" s="362"/>
      <c r="L81" s="363"/>
      <c r="M81" s="363"/>
      <c r="N81" s="258"/>
      <c r="O81" s="258"/>
    </row>
    <row r="82" spans="1:15" ht="14.15" customHeight="1" x14ac:dyDescent="0.3">
      <c r="A82" s="341"/>
      <c r="B82" s="368"/>
      <c r="C82" s="96"/>
      <c r="D82" s="1"/>
      <c r="E82" s="36"/>
      <c r="F82" s="41"/>
      <c r="G82" s="348"/>
      <c r="H82" s="348"/>
      <c r="I82" s="79"/>
      <c r="J82" s="79"/>
      <c r="K82" s="349"/>
      <c r="L82" s="350"/>
      <c r="M82" s="351"/>
      <c r="N82" s="258"/>
      <c r="O82" s="258"/>
    </row>
    <row r="83" spans="1:15" ht="14.15" customHeight="1" x14ac:dyDescent="0.3">
      <c r="A83" s="341" t="s">
        <v>162</v>
      </c>
      <c r="B83" s="373" t="s">
        <v>163</v>
      </c>
      <c r="C83" s="96" t="s">
        <v>108</v>
      </c>
      <c r="D83" s="1">
        <v>8</v>
      </c>
      <c r="E83" s="36">
        <v>200</v>
      </c>
      <c r="F83" s="41">
        <v>0.2</v>
      </c>
      <c r="G83" s="348">
        <f>E83/(1-F83)</f>
        <v>250</v>
      </c>
      <c r="H83" s="348">
        <v>50</v>
      </c>
      <c r="I83" s="83">
        <v>0.15</v>
      </c>
      <c r="J83" s="79">
        <f>H83*(1+I83)</f>
        <v>57.499999999999993</v>
      </c>
      <c r="K83" s="349">
        <f>J83*D83</f>
        <v>459.99999999999994</v>
      </c>
      <c r="L83" s="350">
        <f>G83+J83</f>
        <v>307.5</v>
      </c>
      <c r="M83" s="351">
        <f>D83*L83</f>
        <v>2460</v>
      </c>
      <c r="N83" s="258"/>
      <c r="O83" s="258"/>
    </row>
    <row r="84" spans="1:15" ht="14.15" customHeight="1" x14ac:dyDescent="0.3">
      <c r="A84" s="341"/>
      <c r="B84" s="373" t="s">
        <v>164</v>
      </c>
      <c r="C84" s="96" t="s">
        <v>108</v>
      </c>
      <c r="D84" s="1">
        <v>0</v>
      </c>
      <c r="E84" s="36">
        <v>70.599999999999994</v>
      </c>
      <c r="F84" s="41">
        <v>0.2</v>
      </c>
      <c r="G84" s="348">
        <f>E84/(1-F84)</f>
        <v>88.249999999999986</v>
      </c>
      <c r="H84" s="348">
        <v>50</v>
      </c>
      <c r="I84" s="83">
        <v>0.15</v>
      </c>
      <c r="J84" s="79">
        <f>H84*(1+I84)</f>
        <v>57.499999999999993</v>
      </c>
      <c r="K84" s="349">
        <f>J84*D84</f>
        <v>0</v>
      </c>
      <c r="L84" s="350">
        <f>G84+J84</f>
        <v>145.74999999999997</v>
      </c>
      <c r="M84" s="351">
        <f>D84*L84</f>
        <v>0</v>
      </c>
      <c r="N84" s="258"/>
      <c r="O84" s="258"/>
    </row>
    <row r="85" spans="1:15" ht="14.5" customHeight="1" thickBot="1" x14ac:dyDescent="0.35">
      <c r="A85" s="381"/>
      <c r="B85" s="375" t="s">
        <v>165</v>
      </c>
      <c r="C85" s="99" t="s">
        <v>108</v>
      </c>
      <c r="D85" s="50">
        <v>0</v>
      </c>
      <c r="E85" s="51">
        <v>22.91</v>
      </c>
      <c r="F85" s="52">
        <v>0.2</v>
      </c>
      <c r="G85" s="376">
        <f>E85/(1-F85)</f>
        <v>28.637499999999999</v>
      </c>
      <c r="H85" s="376">
        <v>50</v>
      </c>
      <c r="I85" s="83">
        <v>0.15</v>
      </c>
      <c r="J85" s="79">
        <f>H85*(1+I85)</f>
        <v>57.499999999999993</v>
      </c>
      <c r="K85" s="349">
        <f>J85*D85</f>
        <v>0</v>
      </c>
      <c r="L85" s="350">
        <f>G85+J85</f>
        <v>86.137499999999989</v>
      </c>
      <c r="M85" s="378">
        <f>D85*L85</f>
        <v>0</v>
      </c>
      <c r="N85" s="258"/>
      <c r="O85" s="258"/>
    </row>
    <row r="86" spans="1:15" ht="14.5" customHeight="1" thickBot="1" x14ac:dyDescent="0.35">
      <c r="A86" s="397"/>
      <c r="B86" s="398"/>
      <c r="C86" s="97"/>
      <c r="D86" s="72"/>
      <c r="E86" s="73"/>
      <c r="F86" s="74"/>
      <c r="G86" s="356"/>
      <c r="H86" s="356"/>
      <c r="I86" s="73"/>
      <c r="J86" s="73"/>
      <c r="K86" s="357"/>
      <c r="L86" s="358"/>
      <c r="M86" s="358"/>
      <c r="N86" s="258"/>
      <c r="O86" s="258"/>
    </row>
    <row r="87" spans="1:15" ht="14.15" customHeight="1" x14ac:dyDescent="0.3">
      <c r="A87" s="359">
        <v>2.13</v>
      </c>
      <c r="B87" s="399"/>
      <c r="C87" s="100"/>
      <c r="D87" s="58" t="s">
        <v>166</v>
      </c>
      <c r="E87" s="56"/>
      <c r="F87" s="57"/>
      <c r="G87" s="361"/>
      <c r="H87" s="361"/>
      <c r="I87" s="56"/>
      <c r="J87" s="56"/>
      <c r="K87" s="362"/>
      <c r="L87" s="363"/>
      <c r="M87" s="363"/>
      <c r="N87" s="258"/>
      <c r="O87" s="258"/>
    </row>
    <row r="88" spans="1:15" ht="14.15" customHeight="1" x14ac:dyDescent="0.3">
      <c r="A88" s="341"/>
      <c r="B88" s="368"/>
      <c r="C88" s="96"/>
      <c r="D88" s="1"/>
      <c r="E88" s="36"/>
      <c r="F88" s="41"/>
      <c r="G88" s="348"/>
      <c r="H88" s="348"/>
      <c r="I88" s="79"/>
      <c r="J88" s="79"/>
      <c r="K88" s="349"/>
      <c r="L88" s="350"/>
      <c r="M88" s="351"/>
      <c r="N88" s="258"/>
      <c r="O88" s="258"/>
    </row>
    <row r="89" spans="1:15" ht="14.15" customHeight="1" x14ac:dyDescent="0.3">
      <c r="A89" s="341" t="s">
        <v>167</v>
      </c>
      <c r="B89" s="373" t="s">
        <v>168</v>
      </c>
      <c r="C89" s="96" t="s">
        <v>108</v>
      </c>
      <c r="D89" s="1">
        <v>0</v>
      </c>
      <c r="E89" s="36">
        <v>25</v>
      </c>
      <c r="F89" s="41">
        <v>0.2</v>
      </c>
      <c r="G89" s="348">
        <f>E89/(1-F89)</f>
        <v>31.25</v>
      </c>
      <c r="H89" s="348"/>
      <c r="I89" s="83">
        <v>0.15</v>
      </c>
      <c r="J89" s="79">
        <f>H89*(1+I89)</f>
        <v>0</v>
      </c>
      <c r="K89" s="349">
        <f>J89*D89</f>
        <v>0</v>
      </c>
      <c r="L89" s="350">
        <f>G89+J89</f>
        <v>31.25</v>
      </c>
      <c r="M89" s="351">
        <f>D89*L89</f>
        <v>0</v>
      </c>
      <c r="N89" s="258"/>
      <c r="O89" s="258"/>
    </row>
    <row r="90" spans="1:15" ht="14.15" customHeight="1" x14ac:dyDescent="0.3">
      <c r="A90" s="341" t="s">
        <v>169</v>
      </c>
      <c r="B90" s="373" t="s">
        <v>170</v>
      </c>
      <c r="C90" s="96" t="s">
        <v>108</v>
      </c>
      <c r="D90" s="1">
        <v>0</v>
      </c>
      <c r="E90" s="36">
        <v>33</v>
      </c>
      <c r="F90" s="41">
        <v>0.2</v>
      </c>
      <c r="G90" s="348">
        <f>E90/(1-F90)</f>
        <v>41.25</v>
      </c>
      <c r="H90" s="348"/>
      <c r="I90" s="83">
        <v>0.15</v>
      </c>
      <c r="J90" s="79">
        <f>H90*(1+I90)</f>
        <v>0</v>
      </c>
      <c r="K90" s="349">
        <f>J90*D90</f>
        <v>0</v>
      </c>
      <c r="L90" s="350">
        <f>G90+J90</f>
        <v>41.25</v>
      </c>
      <c r="M90" s="351">
        <f>D90*L90</f>
        <v>0</v>
      </c>
      <c r="N90" s="258"/>
      <c r="O90" s="258"/>
    </row>
    <row r="91" spans="1:15" ht="14.5" customHeight="1" thickBot="1" x14ac:dyDescent="0.35">
      <c r="A91" s="341" t="s">
        <v>171</v>
      </c>
      <c r="B91" s="401" t="s">
        <v>172</v>
      </c>
      <c r="C91" s="96" t="s">
        <v>108</v>
      </c>
      <c r="D91" s="1">
        <v>0</v>
      </c>
      <c r="E91" s="36">
        <v>37</v>
      </c>
      <c r="F91" s="41">
        <v>0.2</v>
      </c>
      <c r="G91" s="348">
        <f>E91/(1-F91)</f>
        <v>46.25</v>
      </c>
      <c r="H91" s="348"/>
      <c r="I91" s="83">
        <v>0.15</v>
      </c>
      <c r="J91" s="79">
        <f>H91*(1+I91)</f>
        <v>0</v>
      </c>
      <c r="K91" s="349">
        <f>J91*D91</f>
        <v>0</v>
      </c>
      <c r="L91" s="350">
        <f>G91+J91</f>
        <v>46.25</v>
      </c>
      <c r="M91" s="351">
        <f>D91*L91</f>
        <v>0</v>
      </c>
      <c r="N91" s="258"/>
      <c r="O91" s="258"/>
    </row>
    <row r="92" spans="1:15" ht="14.5" customHeight="1" thickBot="1" x14ac:dyDescent="0.35">
      <c r="A92" s="397"/>
      <c r="B92" s="398"/>
      <c r="C92" s="97"/>
      <c r="D92" s="72"/>
      <c r="E92" s="73"/>
      <c r="F92" s="74"/>
      <c r="G92" s="356"/>
      <c r="H92" s="356"/>
      <c r="I92" s="73"/>
      <c r="J92" s="73"/>
      <c r="K92" s="357"/>
      <c r="L92" s="358"/>
      <c r="M92" s="358"/>
      <c r="N92" s="258"/>
      <c r="O92" s="258"/>
    </row>
    <row r="93" spans="1:15" s="297" customFormat="1" ht="14.15" customHeight="1" x14ac:dyDescent="0.3">
      <c r="A93" s="402">
        <v>2.14</v>
      </c>
      <c r="B93" s="403"/>
      <c r="C93" s="98"/>
      <c r="D93" s="65" t="s">
        <v>173</v>
      </c>
      <c r="E93" s="53"/>
      <c r="F93" s="54"/>
      <c r="G93" s="391"/>
      <c r="H93" s="391"/>
      <c r="I93" s="53"/>
      <c r="J93" s="53"/>
      <c r="K93" s="392"/>
      <c r="L93" s="393"/>
      <c r="M93" s="393"/>
      <c r="N93" s="258"/>
      <c r="O93" s="258"/>
    </row>
    <row r="94" spans="1:15" s="297" customFormat="1" ht="14.15" customHeight="1" x14ac:dyDescent="0.3">
      <c r="A94" s="341"/>
      <c r="B94" s="368"/>
      <c r="C94" s="96"/>
      <c r="D94" s="1"/>
      <c r="E94" s="36"/>
      <c r="F94" s="41"/>
      <c r="G94" s="348"/>
      <c r="H94" s="348"/>
      <c r="I94" s="79"/>
      <c r="J94" s="79"/>
      <c r="K94" s="349"/>
      <c r="L94" s="350"/>
      <c r="M94" s="351"/>
      <c r="N94" s="258"/>
      <c r="O94" s="258"/>
    </row>
    <row r="95" spans="1:15" s="297" customFormat="1" ht="28" customHeight="1" x14ac:dyDescent="0.3">
      <c r="A95" s="341"/>
      <c r="B95" s="373" t="s">
        <v>174</v>
      </c>
      <c r="C95" s="96"/>
      <c r="D95" s="1"/>
      <c r="E95" s="36"/>
      <c r="F95" s="41"/>
      <c r="G95" s="348"/>
      <c r="H95" s="348"/>
      <c r="I95" s="79"/>
      <c r="J95" s="79"/>
      <c r="K95" s="349"/>
      <c r="L95" s="350"/>
      <c r="M95" s="351"/>
      <c r="N95" s="258"/>
      <c r="O95" s="258"/>
    </row>
    <row r="96" spans="1:15" s="297" customFormat="1" ht="14.15" customHeight="1" x14ac:dyDescent="0.3">
      <c r="A96" s="384"/>
      <c r="B96" s="373"/>
      <c r="C96" s="96"/>
      <c r="D96" s="1"/>
      <c r="E96" s="36"/>
      <c r="F96" s="41"/>
      <c r="G96" s="348"/>
      <c r="H96" s="348"/>
      <c r="I96" s="79"/>
      <c r="J96" s="79"/>
      <c r="K96" s="349"/>
      <c r="L96" s="350"/>
      <c r="M96" s="351"/>
      <c r="N96" s="258"/>
      <c r="O96" s="258"/>
    </row>
    <row r="97" spans="1:15" s="297" customFormat="1" ht="14.15" customHeight="1" x14ac:dyDescent="0.3">
      <c r="A97" s="341" t="s">
        <v>175</v>
      </c>
      <c r="B97" s="373" t="s">
        <v>150</v>
      </c>
      <c r="C97" s="96" t="s">
        <v>85</v>
      </c>
      <c r="D97" s="1">
        <v>6</v>
      </c>
      <c r="E97" s="36">
        <f>752.54*1.1</f>
        <v>827.79399999999998</v>
      </c>
      <c r="F97" s="41">
        <v>0.2</v>
      </c>
      <c r="G97" s="348">
        <f t="shared" ref="G97:G107" si="5">E97/(1-F97)</f>
        <v>1034.7424999999998</v>
      </c>
      <c r="H97" s="348">
        <f>(250+100)*1.5</f>
        <v>525</v>
      </c>
      <c r="I97" s="83">
        <v>0.15</v>
      </c>
      <c r="J97" s="79">
        <f t="shared" ref="J97:J107" si="6">H97*(1+I97)</f>
        <v>603.75</v>
      </c>
      <c r="K97" s="349">
        <f t="shared" ref="K97:K107" si="7">J97*D97</f>
        <v>3622.5</v>
      </c>
      <c r="L97" s="350">
        <f t="shared" ref="L97:L107" si="8">G97+J97</f>
        <v>1638.4924999999998</v>
      </c>
      <c r="M97" s="351">
        <f t="shared" ref="M97:M107" si="9">D97*L97</f>
        <v>9830.9549999999981</v>
      </c>
      <c r="N97" s="258"/>
      <c r="O97" s="258"/>
    </row>
    <row r="98" spans="1:15" s="297" customFormat="1" ht="14.15" customHeight="1" x14ac:dyDescent="0.3">
      <c r="A98" s="341" t="s">
        <v>176</v>
      </c>
      <c r="B98" s="373" t="s">
        <v>177</v>
      </c>
      <c r="C98" s="96" t="s">
        <v>85</v>
      </c>
      <c r="D98" s="1">
        <v>0</v>
      </c>
      <c r="E98" s="36">
        <f>350*1.1</f>
        <v>385.00000000000006</v>
      </c>
      <c r="F98" s="41">
        <v>0.2</v>
      </c>
      <c r="G98" s="348">
        <f t="shared" si="5"/>
        <v>481.25000000000006</v>
      </c>
      <c r="H98" s="348">
        <f>(250+100)*1.5</f>
        <v>525</v>
      </c>
      <c r="I98" s="83">
        <v>0.15</v>
      </c>
      <c r="J98" s="79">
        <f t="shared" si="6"/>
        <v>603.75</v>
      </c>
      <c r="K98" s="349">
        <f t="shared" si="7"/>
        <v>0</v>
      </c>
      <c r="L98" s="350">
        <f t="shared" si="8"/>
        <v>1085</v>
      </c>
      <c r="M98" s="351">
        <f t="shared" si="9"/>
        <v>0</v>
      </c>
      <c r="N98" s="258"/>
      <c r="O98" s="258"/>
    </row>
    <row r="99" spans="1:15" s="297" customFormat="1" ht="14.15" customHeight="1" x14ac:dyDescent="0.3">
      <c r="A99" s="341" t="s">
        <v>178</v>
      </c>
      <c r="B99" s="373" t="s">
        <v>152</v>
      </c>
      <c r="C99" s="96" t="s">
        <v>85</v>
      </c>
      <c r="D99" s="1">
        <v>0</v>
      </c>
      <c r="E99" s="36">
        <v>550</v>
      </c>
      <c r="F99" s="41">
        <v>0.2</v>
      </c>
      <c r="G99" s="348">
        <f t="shared" si="5"/>
        <v>687.5</v>
      </c>
      <c r="H99" s="348">
        <f>(250+100)*1.5</f>
        <v>525</v>
      </c>
      <c r="I99" s="83">
        <v>0.15</v>
      </c>
      <c r="J99" s="79">
        <f t="shared" si="6"/>
        <v>603.75</v>
      </c>
      <c r="K99" s="349">
        <f t="shared" si="7"/>
        <v>0</v>
      </c>
      <c r="L99" s="350">
        <f t="shared" si="8"/>
        <v>1291.25</v>
      </c>
      <c r="M99" s="351">
        <f t="shared" si="9"/>
        <v>0</v>
      </c>
      <c r="N99" s="258"/>
      <c r="O99" s="258"/>
    </row>
    <row r="100" spans="1:15" s="297" customFormat="1" ht="14.15" customHeight="1" x14ac:dyDescent="0.3">
      <c r="A100" s="341" t="s">
        <v>179</v>
      </c>
      <c r="B100" s="373" t="s">
        <v>154</v>
      </c>
      <c r="C100" s="96" t="s">
        <v>85</v>
      </c>
      <c r="D100" s="1">
        <v>0</v>
      </c>
      <c r="E100" s="36">
        <v>350</v>
      </c>
      <c r="F100" s="41">
        <v>0.2</v>
      </c>
      <c r="G100" s="348">
        <f t="shared" si="5"/>
        <v>437.5</v>
      </c>
      <c r="H100" s="348">
        <v>525</v>
      </c>
      <c r="I100" s="83">
        <v>0.15</v>
      </c>
      <c r="J100" s="79">
        <f t="shared" si="6"/>
        <v>603.75</v>
      </c>
      <c r="K100" s="349">
        <f t="shared" si="7"/>
        <v>0</v>
      </c>
      <c r="L100" s="350">
        <f t="shared" si="8"/>
        <v>1041.25</v>
      </c>
      <c r="M100" s="351">
        <f t="shared" si="9"/>
        <v>0</v>
      </c>
      <c r="N100" s="258"/>
      <c r="O100" s="258"/>
    </row>
    <row r="101" spans="1:15" s="297" customFormat="1" ht="14.5" customHeight="1" x14ac:dyDescent="0.3">
      <c r="A101" s="341" t="s">
        <v>180</v>
      </c>
      <c r="B101" s="373" t="s">
        <v>156</v>
      </c>
      <c r="C101" s="96" t="s">
        <v>85</v>
      </c>
      <c r="D101" s="1">
        <v>0</v>
      </c>
      <c r="E101" s="36"/>
      <c r="F101" s="41"/>
      <c r="G101" s="348">
        <f t="shared" si="5"/>
        <v>0</v>
      </c>
      <c r="H101" s="348">
        <v>525</v>
      </c>
      <c r="I101" s="83">
        <v>0.15</v>
      </c>
      <c r="J101" s="79">
        <f t="shared" si="6"/>
        <v>603.75</v>
      </c>
      <c r="K101" s="349">
        <f t="shared" si="7"/>
        <v>0</v>
      </c>
      <c r="L101" s="350">
        <f t="shared" si="8"/>
        <v>603.75</v>
      </c>
      <c r="M101" s="351">
        <f t="shared" si="9"/>
        <v>0</v>
      </c>
      <c r="N101" s="258"/>
      <c r="O101" s="258"/>
    </row>
    <row r="102" spans="1:15" s="297" customFormat="1" ht="14.15" customHeight="1" x14ac:dyDescent="0.3">
      <c r="A102" s="341" t="s">
        <v>181</v>
      </c>
      <c r="B102" s="373" t="s">
        <v>158</v>
      </c>
      <c r="C102" s="96" t="s">
        <v>85</v>
      </c>
      <c r="D102" s="1">
        <v>0</v>
      </c>
      <c r="E102" s="36">
        <v>350</v>
      </c>
      <c r="F102" s="41">
        <v>0.2</v>
      </c>
      <c r="G102" s="348">
        <f t="shared" si="5"/>
        <v>437.5</v>
      </c>
      <c r="H102" s="348">
        <v>525</v>
      </c>
      <c r="I102" s="83">
        <v>0.15</v>
      </c>
      <c r="J102" s="79">
        <f t="shared" si="6"/>
        <v>603.75</v>
      </c>
      <c r="K102" s="349">
        <f t="shared" si="7"/>
        <v>0</v>
      </c>
      <c r="L102" s="350">
        <f t="shared" si="8"/>
        <v>1041.25</v>
      </c>
      <c r="M102" s="351">
        <f t="shared" si="9"/>
        <v>0</v>
      </c>
      <c r="N102" s="258"/>
      <c r="O102" s="258"/>
    </row>
    <row r="103" spans="1:15" s="297" customFormat="1" ht="14.15" customHeight="1" x14ac:dyDescent="0.3">
      <c r="A103" s="341" t="s">
        <v>182</v>
      </c>
      <c r="B103" s="373" t="s">
        <v>160</v>
      </c>
      <c r="C103" s="96" t="s">
        <v>85</v>
      </c>
      <c r="D103" s="1">
        <v>0</v>
      </c>
      <c r="E103" s="36">
        <v>350</v>
      </c>
      <c r="F103" s="41">
        <v>0.2</v>
      </c>
      <c r="G103" s="348">
        <f t="shared" si="5"/>
        <v>437.5</v>
      </c>
      <c r="H103" s="348">
        <v>525</v>
      </c>
      <c r="I103" s="83">
        <v>0.15</v>
      </c>
      <c r="J103" s="79">
        <f t="shared" si="6"/>
        <v>603.75</v>
      </c>
      <c r="K103" s="349">
        <f t="shared" si="7"/>
        <v>0</v>
      </c>
      <c r="L103" s="350">
        <f t="shared" si="8"/>
        <v>1041.25</v>
      </c>
      <c r="M103" s="351">
        <f t="shared" si="9"/>
        <v>0</v>
      </c>
      <c r="N103" s="258"/>
      <c r="O103" s="258"/>
    </row>
    <row r="104" spans="1:15" s="297" customFormat="1" ht="14.15" customHeight="1" x14ac:dyDescent="0.3">
      <c r="A104" s="341" t="s">
        <v>183</v>
      </c>
      <c r="B104" s="373" t="s">
        <v>184</v>
      </c>
      <c r="C104" s="96" t="s">
        <v>85</v>
      </c>
      <c r="D104" s="1">
        <v>4</v>
      </c>
      <c r="E104" s="36">
        <v>350</v>
      </c>
      <c r="F104" s="41">
        <v>0.2</v>
      </c>
      <c r="G104" s="348">
        <f t="shared" si="5"/>
        <v>437.5</v>
      </c>
      <c r="H104" s="348">
        <v>525</v>
      </c>
      <c r="I104" s="83">
        <v>0.15</v>
      </c>
      <c r="J104" s="79">
        <f t="shared" si="6"/>
        <v>603.75</v>
      </c>
      <c r="K104" s="349">
        <f t="shared" si="7"/>
        <v>2415</v>
      </c>
      <c r="L104" s="350">
        <f t="shared" si="8"/>
        <v>1041.25</v>
      </c>
      <c r="M104" s="351">
        <f t="shared" si="9"/>
        <v>4165</v>
      </c>
      <c r="N104" s="258"/>
      <c r="O104" s="258"/>
    </row>
    <row r="105" spans="1:15" s="297" customFormat="1" ht="14.15" customHeight="1" x14ac:dyDescent="0.3">
      <c r="A105" s="341" t="s">
        <v>185</v>
      </c>
      <c r="B105" s="373" t="s">
        <v>186</v>
      </c>
      <c r="C105" s="96" t="s">
        <v>85</v>
      </c>
      <c r="D105" s="1">
        <v>0</v>
      </c>
      <c r="E105" s="36">
        <v>250</v>
      </c>
      <c r="F105" s="41">
        <v>0.2</v>
      </c>
      <c r="G105" s="348">
        <f t="shared" si="5"/>
        <v>312.5</v>
      </c>
      <c r="H105" s="348">
        <v>525</v>
      </c>
      <c r="I105" s="83">
        <v>0.15</v>
      </c>
      <c r="J105" s="79">
        <f t="shared" si="6"/>
        <v>603.75</v>
      </c>
      <c r="K105" s="349">
        <f t="shared" si="7"/>
        <v>0</v>
      </c>
      <c r="L105" s="350">
        <f t="shared" si="8"/>
        <v>916.25</v>
      </c>
      <c r="M105" s="351">
        <f t="shared" si="9"/>
        <v>0</v>
      </c>
      <c r="N105" s="258"/>
      <c r="O105" s="258"/>
    </row>
    <row r="106" spans="1:15" s="297" customFormat="1" ht="14.15" customHeight="1" x14ac:dyDescent="0.3">
      <c r="A106" s="341" t="s">
        <v>187</v>
      </c>
      <c r="B106" s="373" t="s">
        <v>188</v>
      </c>
      <c r="C106" s="96" t="s">
        <v>85</v>
      </c>
      <c r="D106" s="1">
        <v>0</v>
      </c>
      <c r="E106" s="36">
        <v>500</v>
      </c>
      <c r="F106" s="41">
        <v>0.2</v>
      </c>
      <c r="G106" s="348">
        <f t="shared" si="5"/>
        <v>625</v>
      </c>
      <c r="H106" s="348">
        <v>525</v>
      </c>
      <c r="I106" s="83">
        <v>0.15</v>
      </c>
      <c r="J106" s="79">
        <f t="shared" si="6"/>
        <v>603.75</v>
      </c>
      <c r="K106" s="349">
        <f t="shared" si="7"/>
        <v>0</v>
      </c>
      <c r="L106" s="350">
        <f t="shared" si="8"/>
        <v>1228.75</v>
      </c>
      <c r="M106" s="351">
        <f t="shared" si="9"/>
        <v>0</v>
      </c>
      <c r="N106" s="258"/>
      <c r="O106" s="258"/>
    </row>
    <row r="107" spans="1:15" s="297" customFormat="1" ht="14.5" customHeight="1" thickBot="1" x14ac:dyDescent="0.35">
      <c r="A107" s="381" t="s">
        <v>189</v>
      </c>
      <c r="B107" s="375" t="s">
        <v>190</v>
      </c>
      <c r="C107" s="99" t="s">
        <v>85</v>
      </c>
      <c r="D107" s="50">
        <v>0</v>
      </c>
      <c r="E107" s="51">
        <v>500</v>
      </c>
      <c r="F107" s="52">
        <v>0.2</v>
      </c>
      <c r="G107" s="376">
        <f t="shared" si="5"/>
        <v>625</v>
      </c>
      <c r="H107" s="376">
        <v>525</v>
      </c>
      <c r="I107" s="84">
        <v>0.15</v>
      </c>
      <c r="J107" s="80">
        <f t="shared" si="6"/>
        <v>603.75</v>
      </c>
      <c r="K107" s="382">
        <f t="shared" si="7"/>
        <v>0</v>
      </c>
      <c r="L107" s="350">
        <f t="shared" si="8"/>
        <v>1228.75</v>
      </c>
      <c r="M107" s="378">
        <f t="shared" si="9"/>
        <v>0</v>
      </c>
      <c r="N107" s="258"/>
      <c r="O107" s="258"/>
    </row>
    <row r="108" spans="1:15" s="297" customFormat="1" ht="14.5" customHeight="1" thickBot="1" x14ac:dyDescent="0.35">
      <c r="A108" s="404"/>
      <c r="B108" s="405"/>
      <c r="C108" s="96"/>
      <c r="D108" s="1"/>
      <c r="E108" s="36"/>
      <c r="F108" s="41"/>
      <c r="G108" s="348"/>
      <c r="H108" s="348"/>
      <c r="I108" s="79"/>
      <c r="J108" s="79"/>
      <c r="K108" s="406"/>
      <c r="L108" s="350"/>
      <c r="M108" s="351"/>
      <c r="N108" s="258"/>
      <c r="O108" s="258"/>
    </row>
    <row r="109" spans="1:15" ht="14.15" customHeight="1" x14ac:dyDescent="0.3">
      <c r="A109" s="359">
        <v>2.15</v>
      </c>
      <c r="B109" s="399"/>
      <c r="C109" s="100"/>
      <c r="D109" s="58" t="s">
        <v>191</v>
      </c>
      <c r="E109" s="56"/>
      <c r="F109" s="57"/>
      <c r="G109" s="361"/>
      <c r="H109" s="361"/>
      <c r="I109" s="56"/>
      <c r="J109" s="56"/>
      <c r="K109" s="362"/>
      <c r="L109" s="363"/>
      <c r="M109" s="363"/>
      <c r="N109" s="258"/>
      <c r="O109" s="258"/>
    </row>
    <row r="110" spans="1:15" ht="14.15" customHeight="1" x14ac:dyDescent="0.3">
      <c r="A110" s="341"/>
      <c r="B110" s="368"/>
      <c r="C110" s="96"/>
      <c r="D110" s="1"/>
      <c r="E110" s="36"/>
      <c r="F110" s="41"/>
      <c r="G110" s="348"/>
      <c r="H110" s="348"/>
      <c r="I110" s="79"/>
      <c r="J110" s="79"/>
      <c r="K110" s="349"/>
      <c r="L110" s="350"/>
      <c r="M110" s="351"/>
      <c r="N110" s="258"/>
      <c r="O110" s="258"/>
    </row>
    <row r="111" spans="1:15" ht="28" customHeight="1" x14ac:dyDescent="0.3">
      <c r="A111" s="341"/>
      <c r="B111" s="373" t="s">
        <v>192</v>
      </c>
      <c r="C111" s="96"/>
      <c r="D111" s="1"/>
      <c r="E111" s="36"/>
      <c r="F111" s="41"/>
      <c r="G111" s="348"/>
      <c r="H111" s="348"/>
      <c r="I111" s="79"/>
      <c r="J111" s="79"/>
      <c r="K111" s="349"/>
      <c r="L111" s="350"/>
      <c r="M111" s="351"/>
      <c r="N111" s="258"/>
      <c r="O111" s="258"/>
    </row>
    <row r="112" spans="1:15" ht="14.15" customHeight="1" x14ac:dyDescent="0.3">
      <c r="A112" s="384"/>
      <c r="B112" s="373"/>
      <c r="C112" s="96"/>
      <c r="D112" s="1"/>
      <c r="E112" s="36"/>
      <c r="F112" s="41"/>
      <c r="G112" s="348"/>
      <c r="H112" s="348"/>
      <c r="I112" s="79"/>
      <c r="J112" s="79"/>
      <c r="K112" s="349"/>
      <c r="L112" s="350"/>
      <c r="M112" s="351"/>
      <c r="N112" s="258"/>
      <c r="O112" s="258"/>
    </row>
    <row r="113" spans="1:15" ht="14.15" customHeight="1" x14ac:dyDescent="0.3">
      <c r="A113" s="341" t="s">
        <v>193</v>
      </c>
      <c r="B113" s="373" t="s">
        <v>194</v>
      </c>
      <c r="C113" s="96" t="s">
        <v>108</v>
      </c>
      <c r="D113" s="1">
        <v>0</v>
      </c>
      <c r="E113" s="36">
        <f>132*(15+10+10)</f>
        <v>4620</v>
      </c>
      <c r="F113" s="41">
        <v>0.2</v>
      </c>
      <c r="G113" s="348">
        <f>E113/(1-F113)</f>
        <v>5775</v>
      </c>
      <c r="H113" s="348">
        <f>9*(15+10+10)</f>
        <v>315</v>
      </c>
      <c r="I113" s="83">
        <v>0.15</v>
      </c>
      <c r="J113" s="79">
        <f>H113*(1+I113)</f>
        <v>362.25</v>
      </c>
      <c r="K113" s="349">
        <f>J113*D113</f>
        <v>0</v>
      </c>
      <c r="L113" s="350">
        <f>G113+J113</f>
        <v>6137.25</v>
      </c>
      <c r="M113" s="351">
        <f>D113*L113</f>
        <v>0</v>
      </c>
      <c r="N113" s="258"/>
      <c r="O113" s="258"/>
    </row>
    <row r="114" spans="1:15" ht="14.5" customHeight="1" thickBot="1" x14ac:dyDescent="0.35">
      <c r="A114" s="381" t="s">
        <v>195</v>
      </c>
      <c r="B114" s="375" t="s">
        <v>196</v>
      </c>
      <c r="C114" s="99" t="s">
        <v>108</v>
      </c>
      <c r="D114" s="50">
        <v>18</v>
      </c>
      <c r="E114" s="51">
        <f>30</f>
        <v>30</v>
      </c>
      <c r="F114" s="52">
        <v>0.2</v>
      </c>
      <c r="G114" s="376">
        <f>E114/(1-F114)</f>
        <v>37.5</v>
      </c>
      <c r="H114" s="376">
        <f>15</f>
        <v>15</v>
      </c>
      <c r="I114" s="84">
        <v>0.15</v>
      </c>
      <c r="J114" s="80">
        <f>H114*(1+I114)</f>
        <v>17.25</v>
      </c>
      <c r="K114" s="382">
        <f>J114*D114</f>
        <v>310.5</v>
      </c>
      <c r="L114" s="407">
        <f>G114+J114</f>
        <v>54.75</v>
      </c>
      <c r="M114" s="378">
        <f>D114*L114</f>
        <v>985.5</v>
      </c>
      <c r="N114" s="258"/>
      <c r="O114" s="258"/>
    </row>
    <row r="115" spans="1:15" ht="14.5" customHeight="1" thickBot="1" x14ac:dyDescent="0.35">
      <c r="A115" s="258"/>
      <c r="B115" s="405"/>
      <c r="C115" s="96"/>
      <c r="D115" s="1"/>
      <c r="E115" s="36"/>
      <c r="F115" s="41"/>
      <c r="G115" s="348"/>
      <c r="H115" s="348"/>
      <c r="I115" s="79"/>
      <c r="J115" s="79"/>
      <c r="K115" s="406"/>
      <c r="L115" s="350"/>
      <c r="M115" s="351"/>
      <c r="N115" s="258"/>
      <c r="O115" s="258"/>
    </row>
    <row r="116" spans="1:15" ht="14.15" customHeight="1" x14ac:dyDescent="0.3">
      <c r="A116" s="359">
        <v>2.16</v>
      </c>
      <c r="B116" s="399"/>
      <c r="C116" s="100"/>
      <c r="D116" s="58" t="s">
        <v>197</v>
      </c>
      <c r="E116" s="56"/>
      <c r="F116" s="57"/>
      <c r="G116" s="361"/>
      <c r="H116" s="361"/>
      <c r="I116" s="56"/>
      <c r="J116" s="56"/>
      <c r="K116" s="362"/>
      <c r="L116" s="363"/>
      <c r="M116" s="363"/>
      <c r="N116" s="258"/>
      <c r="O116" s="258"/>
    </row>
    <row r="117" spans="1:15" ht="14.15" customHeight="1" x14ac:dyDescent="0.3">
      <c r="A117" s="341"/>
      <c r="B117" s="368"/>
      <c r="C117" s="96"/>
      <c r="D117" s="1"/>
      <c r="E117" s="36"/>
      <c r="F117" s="41"/>
      <c r="G117" s="348"/>
      <c r="H117" s="348"/>
      <c r="I117" s="79"/>
      <c r="J117" s="79"/>
      <c r="K117" s="349"/>
      <c r="L117" s="350"/>
      <c r="M117" s="351"/>
      <c r="N117" s="258"/>
      <c r="O117" s="258"/>
    </row>
    <row r="118" spans="1:15" ht="28.5" customHeight="1" thickBot="1" x14ac:dyDescent="0.35">
      <c r="A118" s="381" t="s">
        <v>198</v>
      </c>
      <c r="B118" s="375" t="s">
        <v>199</v>
      </c>
      <c r="C118" s="95" t="s">
        <v>108</v>
      </c>
      <c r="D118" s="50">
        <v>10</v>
      </c>
      <c r="E118" s="51">
        <v>5</v>
      </c>
      <c r="F118" s="52">
        <v>0.2</v>
      </c>
      <c r="G118" s="376">
        <f>E118/(1-F118)</f>
        <v>6.25</v>
      </c>
      <c r="H118" s="376">
        <f>(100*3)</f>
        <v>300</v>
      </c>
      <c r="I118" s="84">
        <v>0.15</v>
      </c>
      <c r="J118" s="80">
        <f>H118*(1+I118)</f>
        <v>345</v>
      </c>
      <c r="K118" s="382">
        <f>J118*D118</f>
        <v>3450</v>
      </c>
      <c r="L118" s="407">
        <f>G118+J118</f>
        <v>351.25</v>
      </c>
      <c r="M118" s="378">
        <f>D118*L118</f>
        <v>3512.5</v>
      </c>
      <c r="N118" s="258"/>
      <c r="O118" s="258"/>
    </row>
    <row r="119" spans="1:15" ht="13.4" customHeight="1" thickBot="1" x14ac:dyDescent="0.35">
      <c r="A119" s="404"/>
      <c r="B119" s="405"/>
      <c r="C119" s="96"/>
      <c r="D119" s="1"/>
      <c r="E119" s="36"/>
      <c r="F119" s="41"/>
      <c r="G119" s="348"/>
      <c r="H119" s="348"/>
      <c r="I119" s="79"/>
      <c r="J119" s="79"/>
      <c r="K119" s="406"/>
      <c r="L119" s="350"/>
      <c r="M119" s="351"/>
      <c r="N119" s="258"/>
      <c r="O119" s="258"/>
    </row>
    <row r="120" spans="1:15" ht="14.15" customHeight="1" x14ac:dyDescent="0.3">
      <c r="A120" s="359">
        <v>2.17</v>
      </c>
      <c r="B120" s="399"/>
      <c r="C120" s="100"/>
      <c r="D120" s="58" t="s">
        <v>200</v>
      </c>
      <c r="E120" s="56"/>
      <c r="F120" s="57"/>
      <c r="G120" s="361"/>
      <c r="H120" s="361"/>
      <c r="I120" s="56"/>
      <c r="J120" s="56"/>
      <c r="K120" s="362"/>
      <c r="L120" s="363"/>
      <c r="M120" s="363"/>
      <c r="N120" s="258"/>
      <c r="O120" s="258"/>
    </row>
    <row r="121" spans="1:15" ht="14.15" customHeight="1" x14ac:dyDescent="0.3">
      <c r="A121" s="341"/>
      <c r="B121" s="408"/>
      <c r="C121" s="96"/>
      <c r="D121" s="1"/>
      <c r="E121" s="36"/>
      <c r="F121" s="41"/>
      <c r="G121" s="348"/>
      <c r="H121" s="348"/>
      <c r="I121" s="79"/>
      <c r="J121" s="79"/>
      <c r="K121" s="349"/>
      <c r="L121" s="350"/>
      <c r="M121" s="351"/>
      <c r="N121" s="258"/>
      <c r="O121" s="258"/>
    </row>
    <row r="122" spans="1:15" ht="14.15" customHeight="1" x14ac:dyDescent="0.3">
      <c r="A122" s="341"/>
      <c r="B122" s="373" t="s">
        <v>201</v>
      </c>
      <c r="C122" s="96"/>
      <c r="D122" s="1"/>
      <c r="E122" s="36"/>
      <c r="F122" s="41"/>
      <c r="G122" s="348"/>
      <c r="H122" s="348"/>
      <c r="I122" s="79"/>
      <c r="J122" s="79"/>
      <c r="K122" s="349"/>
      <c r="L122" s="350"/>
      <c r="M122" s="351"/>
      <c r="N122" s="258"/>
      <c r="O122" s="258"/>
    </row>
    <row r="123" spans="1:15" ht="14.15" customHeight="1" x14ac:dyDescent="0.3">
      <c r="A123" s="384"/>
      <c r="B123" s="409"/>
      <c r="C123" s="96"/>
      <c r="D123" s="1"/>
      <c r="E123" s="36"/>
      <c r="F123" s="41"/>
      <c r="G123" s="348"/>
      <c r="H123" s="348"/>
      <c r="I123" s="79"/>
      <c r="J123" s="79"/>
      <c r="K123" s="349"/>
      <c r="L123" s="350"/>
      <c r="M123" s="351"/>
      <c r="N123" s="258"/>
      <c r="O123" s="258"/>
    </row>
    <row r="124" spans="1:15" ht="28" customHeight="1" x14ac:dyDescent="0.3">
      <c r="A124" s="341" t="s">
        <v>202</v>
      </c>
      <c r="B124" s="373" t="s">
        <v>203</v>
      </c>
      <c r="C124" s="94" t="s">
        <v>42</v>
      </c>
      <c r="D124" s="1">
        <v>0</v>
      </c>
      <c r="E124" s="36"/>
      <c r="F124" s="41">
        <v>0.2</v>
      </c>
      <c r="G124" s="348">
        <f>E124/(1-F124)</f>
        <v>0</v>
      </c>
      <c r="H124" s="348">
        <f>140*(20+60+200)</f>
        <v>39200</v>
      </c>
      <c r="I124" s="83">
        <v>0.15</v>
      </c>
      <c r="J124" s="79">
        <f>H124*(1+I124)</f>
        <v>45080</v>
      </c>
      <c r="K124" s="349">
        <f>J124*D124</f>
        <v>0</v>
      </c>
      <c r="L124" s="350">
        <f>G124+J124</f>
        <v>45080</v>
      </c>
      <c r="M124" s="351">
        <f>D124*L124</f>
        <v>0</v>
      </c>
      <c r="N124" s="258"/>
      <c r="O124" s="258"/>
    </row>
    <row r="125" spans="1:15" s="297" customFormat="1" ht="28" customHeight="1" x14ac:dyDescent="0.3">
      <c r="A125" s="341" t="s">
        <v>204</v>
      </c>
      <c r="B125" s="373" t="s">
        <v>205</v>
      </c>
      <c r="C125" s="94" t="s">
        <v>42</v>
      </c>
      <c r="D125" s="1">
        <v>0</v>
      </c>
      <c r="E125" s="36"/>
      <c r="F125" s="41">
        <v>0.2</v>
      </c>
      <c r="G125" s="348">
        <f>E125/(1-F125)</f>
        <v>0</v>
      </c>
      <c r="H125" s="348">
        <f>140*(20+60+200)</f>
        <v>39200</v>
      </c>
      <c r="I125" s="83">
        <v>0.15</v>
      </c>
      <c r="J125" s="79">
        <f>H125*(1+I125)</f>
        <v>45080</v>
      </c>
      <c r="K125" s="349">
        <f>J125*D125</f>
        <v>0</v>
      </c>
      <c r="L125" s="350">
        <f>G125+J125</f>
        <v>45080</v>
      </c>
      <c r="M125" s="351">
        <f>D125*L125</f>
        <v>0</v>
      </c>
      <c r="N125" s="258"/>
      <c r="O125" s="258"/>
    </row>
    <row r="126" spans="1:15" s="297" customFormat="1" ht="14.15" customHeight="1" x14ac:dyDescent="0.3">
      <c r="A126" s="341" t="s">
        <v>206</v>
      </c>
      <c r="B126" s="373" t="s">
        <v>207</v>
      </c>
      <c r="C126" s="94" t="s">
        <v>42</v>
      </c>
      <c r="D126" s="1">
        <v>0</v>
      </c>
      <c r="E126" s="36">
        <f>35*(50+50)</f>
        <v>3500</v>
      </c>
      <c r="F126" s="41">
        <v>0.2</v>
      </c>
      <c r="G126" s="348">
        <f>E126/(1-F126)</f>
        <v>4375</v>
      </c>
      <c r="H126" s="348">
        <f>5*(50+50+50)</f>
        <v>750</v>
      </c>
      <c r="I126" s="83">
        <v>0.15</v>
      </c>
      <c r="J126" s="79">
        <f>H126*(1+I126)</f>
        <v>862.49999999999989</v>
      </c>
      <c r="K126" s="349">
        <f>J126*D126</f>
        <v>0</v>
      </c>
      <c r="L126" s="350">
        <f>G126+J126</f>
        <v>5237.5</v>
      </c>
      <c r="M126" s="351">
        <f>D126*L126</f>
        <v>0</v>
      </c>
      <c r="N126" s="258"/>
      <c r="O126" s="258"/>
    </row>
    <row r="127" spans="1:15" s="297" customFormat="1" ht="14.5" customHeight="1" thickBot="1" x14ac:dyDescent="0.35">
      <c r="A127" s="381" t="s">
        <v>208</v>
      </c>
      <c r="B127" s="375" t="s">
        <v>209</v>
      </c>
      <c r="C127" s="95" t="s">
        <v>42</v>
      </c>
      <c r="D127" s="50">
        <v>0</v>
      </c>
      <c r="E127" s="51">
        <f>4500*3</f>
        <v>13500</v>
      </c>
      <c r="F127" s="52">
        <v>0.2</v>
      </c>
      <c r="G127" s="376">
        <f>E127/(1-F127)</f>
        <v>16875</v>
      </c>
      <c r="H127" s="376">
        <v>5</v>
      </c>
      <c r="I127" s="84">
        <v>0.15</v>
      </c>
      <c r="J127" s="80">
        <f>H127*(1+I127)</f>
        <v>5.75</v>
      </c>
      <c r="K127" s="382">
        <f>J127*D127</f>
        <v>0</v>
      </c>
      <c r="L127" s="407">
        <f>G127+J127</f>
        <v>16880.75</v>
      </c>
      <c r="M127" s="378">
        <f>D127*L127</f>
        <v>0</v>
      </c>
      <c r="N127" s="258"/>
      <c r="O127" s="258"/>
    </row>
    <row r="128" spans="1:15" s="297" customFormat="1" ht="14.5" customHeight="1" thickBot="1" x14ac:dyDescent="0.35">
      <c r="A128" s="404"/>
      <c r="B128" s="410"/>
      <c r="C128" s="28"/>
      <c r="D128" s="1"/>
      <c r="E128" s="36"/>
      <c r="F128" s="41"/>
      <c r="G128" s="348"/>
      <c r="H128" s="348"/>
      <c r="I128" s="79"/>
      <c r="J128" s="79"/>
      <c r="K128" s="406"/>
      <c r="L128" s="350"/>
      <c r="M128" s="351"/>
      <c r="N128" s="258"/>
      <c r="O128" s="258"/>
    </row>
    <row r="129" spans="1:15" s="297" customFormat="1" ht="14.15" customHeight="1" x14ac:dyDescent="0.3">
      <c r="A129" s="359">
        <v>2.1800000000000002</v>
      </c>
      <c r="B129" s="399"/>
      <c r="C129" s="100"/>
      <c r="D129" s="55" t="s">
        <v>210</v>
      </c>
      <c r="E129" s="56"/>
      <c r="F129" s="57"/>
      <c r="G129" s="361"/>
      <c r="H129" s="361"/>
      <c r="I129" s="56"/>
      <c r="J129" s="56"/>
      <c r="K129" s="362"/>
      <c r="L129" s="363"/>
      <c r="M129" s="363"/>
      <c r="N129" s="258"/>
      <c r="O129" s="258"/>
    </row>
    <row r="130" spans="1:15" s="297" customFormat="1" ht="14.15" customHeight="1" x14ac:dyDescent="0.3">
      <c r="A130" s="341"/>
      <c r="B130" s="408"/>
      <c r="C130" s="96"/>
      <c r="D130" s="1"/>
      <c r="E130" s="36"/>
      <c r="F130" s="41"/>
      <c r="G130" s="348"/>
      <c r="H130" s="348"/>
      <c r="I130" s="79"/>
      <c r="J130" s="79"/>
      <c r="K130" s="349"/>
      <c r="L130" s="350"/>
      <c r="M130" s="351"/>
      <c r="N130" s="258"/>
      <c r="O130" s="258"/>
    </row>
    <row r="131" spans="1:15" s="297" customFormat="1" ht="14.15" customHeight="1" x14ac:dyDescent="0.3">
      <c r="A131" s="341" t="s">
        <v>211</v>
      </c>
      <c r="B131" s="373" t="s">
        <v>212</v>
      </c>
      <c r="C131" s="96" t="s">
        <v>42</v>
      </c>
      <c r="D131" s="1">
        <v>0</v>
      </c>
      <c r="E131" s="36">
        <v>0</v>
      </c>
      <c r="F131" s="41">
        <v>0.2</v>
      </c>
      <c r="G131" s="348">
        <f>E131/(1-F131)</f>
        <v>0</v>
      </c>
      <c r="H131" s="348">
        <f>2500*3</f>
        <v>7500</v>
      </c>
      <c r="I131" s="79"/>
      <c r="J131" s="79"/>
      <c r="K131" s="349">
        <f>H131*D131</f>
        <v>0</v>
      </c>
      <c r="L131" s="350">
        <f>G131+J131</f>
        <v>0</v>
      </c>
      <c r="M131" s="351">
        <f>D131*L131</f>
        <v>0</v>
      </c>
      <c r="N131" s="258"/>
      <c r="O131" s="258"/>
    </row>
    <row r="132" spans="1:15" s="297" customFormat="1" ht="14.5" customHeight="1" thickBot="1" x14ac:dyDescent="0.35">
      <c r="A132" s="381"/>
      <c r="B132" s="411"/>
      <c r="C132" s="77"/>
      <c r="D132" s="50"/>
      <c r="E132" s="51"/>
      <c r="F132" s="52"/>
      <c r="G132" s="376"/>
      <c r="H132" s="376"/>
      <c r="I132" s="80"/>
      <c r="J132" s="80"/>
      <c r="K132" s="382">
        <f>H132*D132</f>
        <v>0</v>
      </c>
      <c r="L132" s="412"/>
      <c r="M132" s="378"/>
      <c r="N132" s="258"/>
      <c r="O132" s="258"/>
    </row>
    <row r="133" spans="1:15" s="297" customFormat="1" ht="14.15" customHeight="1" x14ac:dyDescent="0.3">
      <c r="A133" s="369"/>
      <c r="B133" s="413"/>
      <c r="C133" s="28"/>
      <c r="D133" s="1"/>
      <c r="E133" s="36"/>
      <c r="F133" s="41"/>
      <c r="G133" s="348"/>
      <c r="H133" s="348"/>
      <c r="I133" s="36"/>
      <c r="J133" s="36"/>
      <c r="K133" s="414"/>
      <c r="L133" s="350"/>
      <c r="M133" s="351"/>
      <c r="N133" s="258"/>
      <c r="O133" s="258"/>
    </row>
    <row r="134" spans="1:15" s="297" customFormat="1" ht="14.15" customHeight="1" x14ac:dyDescent="0.3">
      <c r="A134" s="404">
        <v>2.19</v>
      </c>
      <c r="B134" s="409" t="s">
        <v>213</v>
      </c>
      <c r="C134" s="96"/>
      <c r="D134" s="1"/>
      <c r="E134" s="36"/>
      <c r="F134" s="41"/>
      <c r="G134" s="348"/>
      <c r="H134" s="348"/>
      <c r="I134" s="36"/>
      <c r="J134" s="36"/>
      <c r="K134" s="415">
        <f>H134*D134</f>
        <v>0</v>
      </c>
      <c r="L134" s="350"/>
      <c r="M134" s="351"/>
      <c r="N134" s="258"/>
      <c r="O134" s="258"/>
    </row>
    <row r="135" spans="1:15" s="297" customFormat="1" ht="14.15" customHeight="1" x14ac:dyDescent="0.3">
      <c r="A135" s="404" t="s">
        <v>214</v>
      </c>
      <c r="B135" s="373" t="s">
        <v>215</v>
      </c>
      <c r="C135" s="96" t="s">
        <v>42</v>
      </c>
      <c r="D135" s="1">
        <v>1</v>
      </c>
      <c r="E135" s="36">
        <v>25000</v>
      </c>
      <c r="F135" s="41">
        <v>0</v>
      </c>
      <c r="G135" s="348">
        <f>E135/(1-F135)</f>
        <v>25000</v>
      </c>
      <c r="H135" s="348">
        <v>0</v>
      </c>
      <c r="I135" s="36"/>
      <c r="J135" s="36"/>
      <c r="K135" s="415">
        <f>H135*D135</f>
        <v>0</v>
      </c>
      <c r="L135" s="350">
        <f>G135+H135</f>
        <v>25000</v>
      </c>
      <c r="M135" s="351">
        <f>D135*L135</f>
        <v>25000</v>
      </c>
      <c r="N135" s="258"/>
      <c r="O135" s="258"/>
    </row>
    <row r="136" spans="1:15" s="297" customFormat="1" ht="14.15" customHeight="1" x14ac:dyDescent="0.3">
      <c r="A136" s="404"/>
      <c r="B136" s="409"/>
      <c r="C136" s="96"/>
      <c r="D136" s="1"/>
      <c r="E136" s="36"/>
      <c r="F136" s="41"/>
      <c r="G136" s="348"/>
      <c r="H136" s="348"/>
      <c r="I136" s="36"/>
      <c r="J136" s="36"/>
      <c r="K136" s="415"/>
      <c r="L136" s="350"/>
      <c r="M136" s="351"/>
      <c r="N136" s="258"/>
      <c r="O136" s="258"/>
    </row>
    <row r="137" spans="1:15" s="297" customFormat="1" ht="14.15" customHeight="1" x14ac:dyDescent="0.3">
      <c r="A137" s="416">
        <v>2.2000000000000002</v>
      </c>
      <c r="B137" s="409" t="s">
        <v>216</v>
      </c>
      <c r="C137" s="96"/>
      <c r="D137" s="1"/>
      <c r="E137" s="36"/>
      <c r="F137" s="41"/>
      <c r="G137" s="348"/>
      <c r="H137" s="348"/>
      <c r="I137" s="36"/>
      <c r="J137" s="36"/>
      <c r="K137" s="415">
        <f>H137*D137</f>
        <v>0</v>
      </c>
      <c r="L137" s="350"/>
      <c r="M137" s="351"/>
      <c r="N137" s="258"/>
      <c r="O137" s="258"/>
    </row>
    <row r="138" spans="1:15" s="297" customFormat="1" ht="14.15" customHeight="1" x14ac:dyDescent="0.3">
      <c r="A138" s="404" t="s">
        <v>217</v>
      </c>
      <c r="B138" s="373" t="s">
        <v>218</v>
      </c>
      <c r="C138" s="96" t="s">
        <v>42</v>
      </c>
      <c r="D138" s="1">
        <v>1</v>
      </c>
      <c r="E138" s="36">
        <f>15000</f>
        <v>15000</v>
      </c>
      <c r="F138" s="41">
        <v>0</v>
      </c>
      <c r="G138" s="348">
        <f>E138/(1-F138)</f>
        <v>15000</v>
      </c>
      <c r="H138" s="348">
        <v>0</v>
      </c>
      <c r="I138" s="36"/>
      <c r="J138" s="36"/>
      <c r="K138" s="415">
        <f>H138*D138</f>
        <v>0</v>
      </c>
      <c r="L138" s="350">
        <f>G138+H138</f>
        <v>15000</v>
      </c>
      <c r="M138" s="351">
        <f>D138*L138</f>
        <v>15000</v>
      </c>
      <c r="N138" s="258"/>
      <c r="O138" s="258"/>
    </row>
    <row r="139" spans="1:15" s="297" customFormat="1" ht="14.15" customHeight="1" x14ac:dyDescent="0.3">
      <c r="A139" s="404"/>
      <c r="B139" s="409"/>
      <c r="C139" s="96"/>
      <c r="D139" s="1"/>
      <c r="E139" s="36"/>
      <c r="F139" s="41"/>
      <c r="G139" s="348"/>
      <c r="H139" s="348"/>
      <c r="I139" s="36"/>
      <c r="J139" s="36"/>
      <c r="K139" s="415"/>
      <c r="L139" s="350"/>
      <c r="M139" s="351"/>
      <c r="N139" s="258"/>
      <c r="O139" s="258"/>
    </row>
    <row r="140" spans="1:15" s="297" customFormat="1" ht="14.15" customHeight="1" x14ac:dyDescent="0.3">
      <c r="A140" s="404">
        <v>2.21</v>
      </c>
      <c r="B140" s="409" t="s">
        <v>219</v>
      </c>
      <c r="C140" s="96"/>
      <c r="D140" s="1"/>
      <c r="E140" s="36"/>
      <c r="F140" s="41"/>
      <c r="G140" s="348"/>
      <c r="H140" s="348"/>
      <c r="I140" s="36"/>
      <c r="J140" s="36"/>
      <c r="K140" s="415">
        <f>H140*D140</f>
        <v>0</v>
      </c>
      <c r="L140" s="350"/>
      <c r="M140" s="351"/>
      <c r="N140" s="258"/>
      <c r="O140" s="258"/>
    </row>
    <row r="141" spans="1:15" ht="14.15" customHeight="1" x14ac:dyDescent="0.3">
      <c r="A141" s="404" t="s">
        <v>220</v>
      </c>
      <c r="B141" s="373" t="s">
        <v>221</v>
      </c>
      <c r="C141" s="96" t="s">
        <v>42</v>
      </c>
      <c r="D141" s="1">
        <v>1</v>
      </c>
      <c r="E141" s="36">
        <f>5000</f>
        <v>5000</v>
      </c>
      <c r="F141" s="41">
        <v>0</v>
      </c>
      <c r="G141" s="348">
        <f>E141/(1-F141)</f>
        <v>5000</v>
      </c>
      <c r="H141" s="348">
        <v>0</v>
      </c>
      <c r="I141" s="36"/>
      <c r="J141" s="36"/>
      <c r="K141" s="415">
        <f>H141*D141</f>
        <v>0</v>
      </c>
      <c r="L141" s="350">
        <f>G141+H141</f>
        <v>5000</v>
      </c>
      <c r="M141" s="351">
        <f>D141*L141</f>
        <v>5000</v>
      </c>
      <c r="N141" s="258"/>
      <c r="O141" s="258"/>
    </row>
    <row r="142" spans="1:15" ht="14.15" customHeight="1" x14ac:dyDescent="0.3">
      <c r="A142" s="404" t="s">
        <v>222</v>
      </c>
      <c r="B142" s="373" t="s">
        <v>223</v>
      </c>
      <c r="C142" s="96" t="s">
        <v>42</v>
      </c>
      <c r="D142" s="1">
        <v>1</v>
      </c>
      <c r="E142" s="36">
        <f>50000</f>
        <v>50000</v>
      </c>
      <c r="F142" s="41">
        <v>0</v>
      </c>
      <c r="G142" s="348">
        <f>E142/(1-F142)</f>
        <v>50000</v>
      </c>
      <c r="H142" s="348">
        <v>0</v>
      </c>
      <c r="I142" s="36"/>
      <c r="J142" s="36"/>
      <c r="K142" s="415">
        <f>H142*D142</f>
        <v>0</v>
      </c>
      <c r="L142" s="350">
        <f>G142+H142</f>
        <v>50000</v>
      </c>
      <c r="M142" s="351">
        <f>D142*L142</f>
        <v>50000</v>
      </c>
      <c r="N142" s="258"/>
      <c r="O142" s="258"/>
    </row>
    <row r="143" spans="1:15" ht="14.15" customHeight="1" x14ac:dyDescent="0.3">
      <c r="A143" s="404"/>
      <c r="B143" s="413"/>
      <c r="C143" s="28"/>
      <c r="D143" s="1"/>
      <c r="E143" s="36"/>
      <c r="F143" s="41"/>
      <c r="G143" s="348"/>
      <c r="H143" s="348"/>
      <c r="I143" s="36"/>
      <c r="J143" s="36"/>
      <c r="K143" s="415"/>
      <c r="L143" s="350"/>
      <c r="M143" s="351"/>
      <c r="N143" s="258"/>
      <c r="O143" s="258"/>
    </row>
    <row r="144" spans="1:15" ht="14.15" customHeight="1" x14ac:dyDescent="0.3">
      <c r="A144" s="404">
        <v>2.2200000000000002</v>
      </c>
      <c r="B144" s="409" t="s">
        <v>224</v>
      </c>
      <c r="C144" s="28"/>
      <c r="D144" s="1"/>
      <c r="E144" s="36"/>
      <c r="F144" s="41"/>
      <c r="G144" s="348"/>
      <c r="H144" s="348"/>
      <c r="I144" s="36"/>
      <c r="J144" s="36"/>
      <c r="K144" s="415">
        <f>H144*D144</f>
        <v>0</v>
      </c>
      <c r="L144" s="350"/>
      <c r="M144" s="351"/>
      <c r="N144" s="258"/>
      <c r="O144" s="258"/>
    </row>
    <row r="145" spans="1:15" ht="14.15" customHeight="1" x14ac:dyDescent="0.3">
      <c r="A145" s="404"/>
      <c r="B145" s="413"/>
      <c r="C145" s="28"/>
      <c r="D145" s="1"/>
      <c r="E145" s="36"/>
      <c r="F145" s="41"/>
      <c r="G145" s="348"/>
      <c r="H145" s="348"/>
      <c r="I145" s="36"/>
      <c r="J145" s="36"/>
      <c r="K145" s="415">
        <f>H145*D145</f>
        <v>0</v>
      </c>
      <c r="L145" s="350"/>
      <c r="M145" s="351"/>
      <c r="N145" s="258"/>
      <c r="O145" s="258"/>
    </row>
    <row r="146" spans="1:15" ht="28" customHeight="1" x14ac:dyDescent="0.3">
      <c r="A146" s="404" t="s">
        <v>225</v>
      </c>
      <c r="B146" s="373" t="s">
        <v>226</v>
      </c>
      <c r="C146" s="28" t="s">
        <v>42</v>
      </c>
      <c r="D146" s="1">
        <v>1</v>
      </c>
      <c r="E146" s="36">
        <f>5000*3</f>
        <v>15000</v>
      </c>
      <c r="F146" s="41">
        <v>0.2</v>
      </c>
      <c r="G146" s="348">
        <f>E146/(1-F146)</f>
        <v>18750</v>
      </c>
      <c r="H146" s="348">
        <v>1</v>
      </c>
      <c r="I146" s="36"/>
      <c r="J146" s="36"/>
      <c r="K146" s="415">
        <f>H146*D146</f>
        <v>1</v>
      </c>
      <c r="L146" s="350">
        <f>G146+H146</f>
        <v>18751</v>
      </c>
      <c r="M146" s="351">
        <f>D146*L146</f>
        <v>18751</v>
      </c>
      <c r="N146" s="258"/>
      <c r="O146" s="258"/>
    </row>
    <row r="147" spans="1:15" ht="14.15" customHeight="1" x14ac:dyDescent="0.3">
      <c r="A147" s="404"/>
      <c r="B147" s="413"/>
      <c r="C147" s="28"/>
      <c r="D147" s="1"/>
      <c r="E147" s="36"/>
      <c r="F147" s="41"/>
      <c r="G147" s="348"/>
      <c r="H147" s="348"/>
      <c r="I147" s="36"/>
      <c r="J147" s="36"/>
      <c r="K147" s="417"/>
      <c r="L147" s="350"/>
      <c r="M147" s="418"/>
      <c r="N147" s="258"/>
      <c r="O147" s="258"/>
    </row>
    <row r="148" spans="1:15" ht="14.5" customHeight="1" thickBot="1" x14ac:dyDescent="0.35">
      <c r="A148" s="440"/>
      <c r="B148" s="413"/>
      <c r="C148" s="28"/>
      <c r="D148" s="1"/>
      <c r="E148" s="36"/>
      <c r="F148" s="41"/>
      <c r="G148" s="348"/>
      <c r="H148" s="348"/>
      <c r="I148" s="36"/>
      <c r="J148" s="36"/>
      <c r="K148" s="417"/>
      <c r="L148" s="350"/>
      <c r="M148" s="418"/>
      <c r="N148" s="258"/>
      <c r="O148" s="258"/>
    </row>
    <row r="149" spans="1:15" ht="18.75" customHeight="1" thickTop="1" x14ac:dyDescent="0.3">
      <c r="A149" s="419"/>
      <c r="B149" s="420" t="s">
        <v>227</v>
      </c>
      <c r="C149" s="2"/>
      <c r="D149" s="2"/>
      <c r="E149" s="39"/>
      <c r="F149" s="42"/>
      <c r="G149" s="421"/>
      <c r="H149" s="421"/>
      <c r="I149" s="39"/>
      <c r="J149" s="39"/>
      <c r="K149" s="422">
        <f>SUM(K11:K146)</f>
        <v>119842.5</v>
      </c>
      <c r="L149" s="423"/>
      <c r="M149" s="424">
        <f>SUM(M11:M148)</f>
        <v>2877401.9600892863</v>
      </c>
      <c r="N149" s="436">
        <f>M149*1.15</f>
        <v>3309012.254102679</v>
      </c>
      <c r="O149" s="258"/>
    </row>
    <row r="150" spans="1:15" ht="16.5" customHeight="1" x14ac:dyDescent="0.3">
      <c r="A150" s="426"/>
      <c r="B150" s="427"/>
      <c r="C150" s="257"/>
      <c r="D150" s="47"/>
      <c r="E150" s="250"/>
      <c r="F150" s="48"/>
      <c r="G150" s="428"/>
      <c r="H150" s="428"/>
      <c r="I150" s="250"/>
      <c r="J150" s="250"/>
      <c r="K150" s="429"/>
      <c r="L150" s="430"/>
      <c r="M150" s="431"/>
      <c r="N150" s="258"/>
      <c r="O150" s="258"/>
    </row>
    <row r="151" spans="1:15" ht="18.75" customHeight="1" x14ac:dyDescent="0.3">
      <c r="A151" s="258"/>
      <c r="B151" s="387"/>
      <c r="C151" s="34"/>
      <c r="D151" s="249"/>
      <c r="E151" s="249"/>
      <c r="F151" s="249"/>
      <c r="G151" s="432"/>
      <c r="H151" s="432"/>
      <c r="I151" s="249"/>
      <c r="J151" s="249"/>
      <c r="K151" s="432"/>
      <c r="L151" s="433"/>
      <c r="M151" s="434"/>
      <c r="N151" s="433"/>
      <c r="O151" s="258"/>
    </row>
    <row r="152" spans="1:15" ht="18.75" customHeight="1" x14ac:dyDescent="0.25"/>
    <row r="153" spans="1:15" ht="18.75" customHeight="1" x14ac:dyDescent="0.25"/>
    <row r="154" spans="1:15" ht="18.75" customHeight="1" x14ac:dyDescent="0.25"/>
    <row r="155" spans="1:15" ht="18.75" customHeight="1" x14ac:dyDescent="0.25"/>
    <row r="156" spans="1:15" ht="18.75" customHeight="1" x14ac:dyDescent="0.25"/>
    <row r="157" spans="1:15" ht="18.75" customHeight="1" x14ac:dyDescent="0.25"/>
    <row r="158" spans="1:15" ht="18.75" customHeight="1" x14ac:dyDescent="0.25"/>
    <row r="159" spans="1:15" ht="18.75" customHeight="1" x14ac:dyDescent="0.25"/>
    <row r="160" spans="1:15" ht="18.75" customHeight="1" x14ac:dyDescent="0.25"/>
    <row r="161" ht="18.75" customHeight="1" x14ac:dyDescent="0.25"/>
    <row r="162" ht="18.75" customHeight="1" x14ac:dyDescent="0.25"/>
    <row r="163" ht="18.75" customHeight="1" x14ac:dyDescent="0.25"/>
    <row r="164" ht="18.75" customHeight="1" x14ac:dyDescent="0.25"/>
    <row r="165" ht="18.75" customHeight="1" x14ac:dyDescent="0.25"/>
    <row r="166" ht="18.75" customHeight="1" x14ac:dyDescent="0.25"/>
    <row r="167" ht="18.75" customHeight="1" x14ac:dyDescent="0.25"/>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69"/>
  <sheetViews>
    <sheetView view="pageBreakPreview" zoomScale="70" zoomScaleNormal="100" zoomScaleSheetLayoutView="70" workbookViewId="0">
      <pane ySplit="5" topLeftCell="A6" activePane="bottomLeft" state="frozen"/>
      <selection pane="bottomLeft" activeCell="D12" sqref="D12"/>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1" width="13.81640625" style="8" customWidth="1"/>
    <col min="12" max="12" width="12.453125" style="295"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33" t="s">
        <v>36</v>
      </c>
      <c r="E5" s="82" t="s">
        <v>72</v>
      </c>
      <c r="F5" s="82" t="s">
        <v>73</v>
      </c>
      <c r="G5" s="313" t="s">
        <v>74</v>
      </c>
      <c r="H5" s="314" t="s">
        <v>75</v>
      </c>
      <c r="I5" s="82" t="s">
        <v>73</v>
      </c>
      <c r="J5" s="315" t="s">
        <v>76</v>
      </c>
      <c r="K5" s="439"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234</v>
      </c>
      <c r="B11" s="347" t="s">
        <v>235</v>
      </c>
      <c r="C11" s="248" t="s">
        <v>85</v>
      </c>
      <c r="D11" s="1">
        <v>11</v>
      </c>
      <c r="E11" s="36">
        <f>1623.93</f>
        <v>1623.93</v>
      </c>
      <c r="F11" s="41">
        <v>0.25</v>
      </c>
      <c r="G11" s="348">
        <f>E11/(1-F11)</f>
        <v>2165.2400000000002</v>
      </c>
      <c r="H11" s="348">
        <v>350</v>
      </c>
      <c r="I11" s="83">
        <v>0.15</v>
      </c>
      <c r="J11" s="79">
        <f>H11*(1+I11)</f>
        <v>402.49999999999994</v>
      </c>
      <c r="K11" s="349">
        <f>J11*D11</f>
        <v>4427.4999999999991</v>
      </c>
      <c r="L11" s="350">
        <f>G11+J11</f>
        <v>2567.7400000000002</v>
      </c>
      <c r="M11" s="351">
        <f>D11*L11</f>
        <v>28245.140000000003</v>
      </c>
      <c r="N11" s="258"/>
      <c r="O11" s="258"/>
    </row>
    <row r="12" spans="1:15" ht="14.5" customHeight="1" thickBot="1" x14ac:dyDescent="0.35">
      <c r="A12" s="354"/>
      <c r="B12" s="441"/>
      <c r="C12" s="71"/>
      <c r="D12" s="72"/>
      <c r="E12" s="73"/>
      <c r="F12" s="74"/>
      <c r="G12" s="356"/>
      <c r="H12" s="356"/>
      <c r="I12" s="73"/>
      <c r="J12" s="73"/>
      <c r="K12" s="357"/>
      <c r="L12" s="358"/>
      <c r="M12" s="358"/>
      <c r="N12" s="258"/>
      <c r="O12" s="258"/>
    </row>
    <row r="13" spans="1:15" ht="14.15" customHeight="1" x14ac:dyDescent="0.3">
      <c r="A13" s="359" t="s">
        <v>86</v>
      </c>
      <c r="B13" s="360"/>
      <c r="C13" s="255"/>
      <c r="D13" s="58" t="s">
        <v>87</v>
      </c>
      <c r="E13" s="56"/>
      <c r="F13" s="57"/>
      <c r="G13" s="361"/>
      <c r="H13" s="361"/>
      <c r="I13" s="56"/>
      <c r="J13" s="56"/>
      <c r="K13" s="362"/>
      <c r="L13" s="363"/>
      <c r="M13" s="363"/>
      <c r="N13" s="258"/>
      <c r="O13" s="258"/>
    </row>
    <row r="14" spans="1:15" ht="14.5" customHeight="1" thickBot="1" x14ac:dyDescent="0.35">
      <c r="A14" s="341" t="s">
        <v>88</v>
      </c>
      <c r="B14" s="442" t="s">
        <v>236</v>
      </c>
      <c r="C14" s="248" t="s">
        <v>85</v>
      </c>
      <c r="D14" s="1">
        <v>1</v>
      </c>
      <c r="E14" s="36">
        <v>16062.21</v>
      </c>
      <c r="F14" s="41">
        <v>0.2</v>
      </c>
      <c r="G14" s="348">
        <f>E14/(1-F14)</f>
        <v>20077.762499999997</v>
      </c>
      <c r="H14" s="348">
        <f>(550*8)+3600</f>
        <v>8000</v>
      </c>
      <c r="I14" s="83">
        <v>0.15</v>
      </c>
      <c r="J14" s="79">
        <f>H14*(1+I14)</f>
        <v>9200</v>
      </c>
      <c r="K14" s="349">
        <f>J14*D14</f>
        <v>9200</v>
      </c>
      <c r="L14" s="350">
        <f>G14+J14</f>
        <v>29277.762499999997</v>
      </c>
      <c r="M14" s="351">
        <f>D14*L14</f>
        <v>29277.762499999997</v>
      </c>
      <c r="N14" s="258"/>
      <c r="O14" s="258"/>
    </row>
    <row r="15" spans="1:15" ht="14.5" customHeight="1" thickBot="1" x14ac:dyDescent="0.35">
      <c r="A15" s="354"/>
      <c r="B15" s="441"/>
      <c r="C15" s="71"/>
      <c r="D15" s="72"/>
      <c r="E15" s="73"/>
      <c r="F15" s="74"/>
      <c r="G15" s="356"/>
      <c r="H15" s="356"/>
      <c r="I15" s="73"/>
      <c r="J15" s="73"/>
      <c r="K15" s="357"/>
      <c r="L15" s="358"/>
      <c r="M15" s="358"/>
      <c r="N15" s="258"/>
      <c r="O15" s="258"/>
    </row>
    <row r="16" spans="1:15" ht="14.15" customHeight="1" x14ac:dyDescent="0.3">
      <c r="A16" s="359">
        <v>2.2999999999999998</v>
      </c>
      <c r="B16" s="367"/>
      <c r="C16" s="255"/>
      <c r="D16" s="58" t="s">
        <v>91</v>
      </c>
      <c r="E16" s="56"/>
      <c r="F16" s="57"/>
      <c r="G16" s="361"/>
      <c r="H16" s="361"/>
      <c r="I16" s="56"/>
      <c r="J16" s="56"/>
      <c r="K16" s="362"/>
      <c r="L16" s="363"/>
      <c r="M16" s="363"/>
      <c r="N16" s="258"/>
      <c r="O16" s="258"/>
    </row>
    <row r="17" spans="1:15" ht="14.15" customHeight="1" x14ac:dyDescent="0.3">
      <c r="A17" s="341" t="s">
        <v>92</v>
      </c>
      <c r="B17" s="443" t="s">
        <v>237</v>
      </c>
      <c r="C17" s="30" t="s">
        <v>90</v>
      </c>
      <c r="D17" s="1">
        <v>1</v>
      </c>
      <c r="E17" s="36">
        <v>13730</v>
      </c>
      <c r="F17" s="41">
        <v>0.2</v>
      </c>
      <c r="G17" s="348">
        <f>E17/(1-F17)</f>
        <v>17162.5</v>
      </c>
      <c r="H17" s="348">
        <f>(550*4)+3500</f>
        <v>5700</v>
      </c>
      <c r="I17" s="83">
        <v>0.15</v>
      </c>
      <c r="J17" s="79">
        <f>H17*(1+I17)</f>
        <v>6554.9999999999991</v>
      </c>
      <c r="K17" s="349">
        <f>J17*D17</f>
        <v>6554.9999999999991</v>
      </c>
      <c r="L17" s="350">
        <f>G17+J17</f>
        <v>23717.5</v>
      </c>
      <c r="M17" s="351">
        <f>D17*L17</f>
        <v>23717.5</v>
      </c>
      <c r="N17" s="258"/>
      <c r="O17" s="258"/>
    </row>
    <row r="18" spans="1:15" ht="14.5" customHeight="1" thickBot="1" x14ac:dyDescent="0.35">
      <c r="A18" s="341" t="s">
        <v>94</v>
      </c>
      <c r="B18" s="444" t="s">
        <v>238</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436"/>
      <c r="O18" s="369"/>
    </row>
    <row r="19" spans="1:15" ht="14.15" customHeight="1" x14ac:dyDescent="0.3">
      <c r="A19" s="359">
        <v>2.4</v>
      </c>
      <c r="B19" s="360"/>
      <c r="C19" s="255"/>
      <c r="D19" s="58" t="s">
        <v>96</v>
      </c>
      <c r="E19" s="56"/>
      <c r="F19" s="57"/>
      <c r="G19" s="361"/>
      <c r="H19" s="361"/>
      <c r="I19" s="56"/>
      <c r="J19" s="56"/>
      <c r="K19" s="362"/>
      <c r="L19" s="363"/>
      <c r="M19" s="363"/>
      <c r="N19" s="258"/>
      <c r="O19" s="258"/>
    </row>
    <row r="20" spans="1:15" ht="28" customHeight="1" x14ac:dyDescent="0.3">
      <c r="A20" s="370" t="s">
        <v>97</v>
      </c>
      <c r="B20" s="445" t="s">
        <v>239</v>
      </c>
      <c r="C20" s="7" t="s">
        <v>42</v>
      </c>
      <c r="D20" s="7">
        <v>1</v>
      </c>
      <c r="E20" s="37">
        <v>68381.67</v>
      </c>
      <c r="F20" s="41">
        <v>0.2</v>
      </c>
      <c r="G20" s="348">
        <f>E20/(1-F20)</f>
        <v>85477.087499999994</v>
      </c>
      <c r="H20" s="371">
        <f>(550*8)+3600</f>
        <v>8000</v>
      </c>
      <c r="I20" s="83">
        <v>0.15</v>
      </c>
      <c r="J20" s="79">
        <f>H20*(1+I20)</f>
        <v>9200</v>
      </c>
      <c r="K20" s="349">
        <f>J20*D20</f>
        <v>9200</v>
      </c>
      <c r="L20" s="350">
        <f>G20+J20</f>
        <v>94677.087499999994</v>
      </c>
      <c r="M20" s="351">
        <f>D20*L20</f>
        <v>94677.087499999994</v>
      </c>
      <c r="N20" s="258"/>
      <c r="O20" s="258"/>
    </row>
    <row r="21" spans="1:15" ht="14.15" customHeight="1" x14ac:dyDescent="0.3">
      <c r="A21" s="370"/>
      <c r="B21" s="443"/>
      <c r="C21" s="3"/>
      <c r="D21" s="7"/>
      <c r="E21" s="37"/>
      <c r="F21" s="41"/>
      <c r="G21" s="348"/>
      <c r="H21" s="371"/>
      <c r="I21" s="66"/>
      <c r="J21" s="66"/>
      <c r="K21" s="349"/>
      <c r="L21" s="350"/>
      <c r="M21" s="351"/>
      <c r="N21" s="258"/>
      <c r="O21" s="258"/>
    </row>
    <row r="22" spans="1:15" ht="14.15" customHeight="1" x14ac:dyDescent="0.3">
      <c r="A22" s="370" t="s">
        <v>99</v>
      </c>
      <c r="B22" s="443"/>
      <c r="C22" s="3"/>
      <c r="D22" s="7"/>
      <c r="E22" s="37"/>
      <c r="F22" s="41"/>
      <c r="G22" s="348"/>
      <c r="H22" s="371"/>
      <c r="I22" s="66"/>
      <c r="J22" s="66"/>
      <c r="K22" s="349"/>
      <c r="L22" s="350"/>
      <c r="M22" s="351"/>
      <c r="N22" s="258"/>
      <c r="O22" s="258"/>
    </row>
    <row r="23" spans="1:15" ht="28.5" customHeight="1" thickBot="1" x14ac:dyDescent="0.35">
      <c r="A23" s="374"/>
      <c r="B23" s="446" t="s">
        <v>100</v>
      </c>
      <c r="C23" s="68" t="s">
        <v>90</v>
      </c>
      <c r="D23" s="68">
        <v>4</v>
      </c>
      <c r="E23" s="69">
        <f>1888.71*1.15</f>
        <v>2172.0164999999997</v>
      </c>
      <c r="F23" s="52">
        <v>0.2</v>
      </c>
      <c r="G23" s="376">
        <f>E23/(1-F23)</f>
        <v>2715.0206249999997</v>
      </c>
      <c r="H23" s="377">
        <f>250*1</f>
        <v>250</v>
      </c>
      <c r="I23" s="83">
        <v>0.15</v>
      </c>
      <c r="J23" s="79">
        <f>H23*(1+I23)</f>
        <v>287.5</v>
      </c>
      <c r="K23" s="349">
        <f>J23*D23</f>
        <v>1150</v>
      </c>
      <c r="L23" s="350">
        <f>G23+J23</f>
        <v>3002.5206249999997</v>
      </c>
      <c r="M23" s="378">
        <f>D23*L23</f>
        <v>12010.082499999999</v>
      </c>
      <c r="N23" s="258"/>
      <c r="O23" s="258"/>
    </row>
    <row r="24" spans="1:15" ht="14.5" customHeight="1" thickBot="1" x14ac:dyDescent="0.35">
      <c r="A24" s="354"/>
      <c r="B24" s="441"/>
      <c r="C24" s="71"/>
      <c r="D24" s="72"/>
      <c r="E24" s="73"/>
      <c r="F24" s="74"/>
      <c r="G24" s="356"/>
      <c r="H24" s="356"/>
      <c r="I24" s="73"/>
      <c r="J24" s="73"/>
      <c r="K24" s="357"/>
      <c r="L24" s="358"/>
      <c r="M24" s="358"/>
      <c r="N24" s="258"/>
      <c r="O24" s="258"/>
    </row>
    <row r="25" spans="1:15" ht="14.15" customHeight="1" x14ac:dyDescent="0.3">
      <c r="A25" s="379">
        <v>2.5</v>
      </c>
      <c r="B25" s="360"/>
      <c r="C25" s="255"/>
      <c r="D25" s="58" t="s">
        <v>101</v>
      </c>
      <c r="E25" s="56"/>
      <c r="F25" s="57"/>
      <c r="G25" s="361"/>
      <c r="H25" s="361"/>
      <c r="I25" s="56"/>
      <c r="J25" s="56"/>
      <c r="K25" s="362"/>
      <c r="L25" s="363"/>
      <c r="M25" s="363"/>
      <c r="N25" s="258"/>
      <c r="O25" s="258"/>
    </row>
    <row r="26" spans="1:15" ht="14.15" customHeight="1" x14ac:dyDescent="0.3">
      <c r="A26" s="380" t="s">
        <v>102</v>
      </c>
      <c r="B26" s="444" t="s">
        <v>103</v>
      </c>
      <c r="C26" s="7" t="s">
        <v>85</v>
      </c>
      <c r="D26" s="7">
        <f>D11</f>
        <v>11</v>
      </c>
      <c r="E26" s="37">
        <v>650</v>
      </c>
      <c r="F26" s="41">
        <v>0.2</v>
      </c>
      <c r="G26" s="348">
        <f>E26/(1-F26)</f>
        <v>812.5</v>
      </c>
      <c r="H26" s="371">
        <f>(((5*200)*4)*1.2)/D26</f>
        <v>436.36363636363637</v>
      </c>
      <c r="I26" s="83">
        <v>0.15</v>
      </c>
      <c r="J26" s="79">
        <f>H26*(1+I26)</f>
        <v>501.81818181818181</v>
      </c>
      <c r="K26" s="349">
        <f>J26*D26</f>
        <v>5520</v>
      </c>
      <c r="L26" s="350">
        <f>G26+J26</f>
        <v>1314.3181818181818</v>
      </c>
      <c r="M26" s="351">
        <f>D26*L26</f>
        <v>14457.5</v>
      </c>
      <c r="N26" s="258"/>
      <c r="O26" s="258"/>
    </row>
    <row r="27" spans="1:15" ht="14.5" customHeight="1" thickBot="1" x14ac:dyDescent="0.35">
      <c r="A27" s="381"/>
      <c r="B27" s="446" t="s">
        <v>104</v>
      </c>
      <c r="C27" s="49"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441"/>
      <c r="C28" s="71"/>
      <c r="D28" s="72"/>
      <c r="E28" s="73"/>
      <c r="F28" s="74"/>
      <c r="G28" s="356"/>
      <c r="H28" s="356"/>
      <c r="I28" s="73"/>
      <c r="J28" s="73"/>
      <c r="K28" s="357"/>
      <c r="L28" s="358"/>
      <c r="M28" s="358"/>
      <c r="N28" s="258"/>
      <c r="O28" s="258"/>
    </row>
    <row r="29" spans="1:15" ht="14.15" customHeight="1" x14ac:dyDescent="0.3">
      <c r="A29" s="359">
        <v>2.6</v>
      </c>
      <c r="B29" s="360"/>
      <c r="C29" s="255"/>
      <c r="D29" s="58" t="s">
        <v>105</v>
      </c>
      <c r="E29" s="56"/>
      <c r="F29" s="57"/>
      <c r="G29" s="361"/>
      <c r="H29" s="361"/>
      <c r="I29" s="56"/>
      <c r="J29" s="56"/>
      <c r="K29" s="362"/>
      <c r="L29" s="363"/>
      <c r="M29" s="363"/>
      <c r="N29" s="258"/>
      <c r="O29" s="258"/>
    </row>
    <row r="30" spans="1:15" ht="42" customHeight="1" x14ac:dyDescent="0.3">
      <c r="A30" s="341" t="s">
        <v>106</v>
      </c>
      <c r="B30" s="444" t="s">
        <v>107</v>
      </c>
      <c r="C30" s="248" t="s">
        <v>108</v>
      </c>
      <c r="D30" s="1">
        <v>90</v>
      </c>
      <c r="E30" s="36">
        <f>14.85*1.15</f>
        <v>17.077499999999997</v>
      </c>
      <c r="F30" s="41">
        <v>0.2</v>
      </c>
      <c r="G30" s="348">
        <f>E30/(1-F30)</f>
        <v>21.346874999999994</v>
      </c>
      <c r="H30" s="348">
        <f>39</f>
        <v>39</v>
      </c>
      <c r="I30" s="83">
        <v>0.15</v>
      </c>
      <c r="J30" s="79">
        <f>H30*(1+I30)</f>
        <v>44.849999999999994</v>
      </c>
      <c r="K30" s="349">
        <f>J30*D30</f>
        <v>4036.4999999999995</v>
      </c>
      <c r="L30" s="350">
        <f>G30+J30</f>
        <v>66.196874999999991</v>
      </c>
      <c r="M30" s="351">
        <f>D30*L30</f>
        <v>5957.7187499999991</v>
      </c>
      <c r="N30" s="258"/>
      <c r="O30" s="258"/>
    </row>
    <row r="31" spans="1:15" ht="14.15" customHeight="1" x14ac:dyDescent="0.3">
      <c r="A31" s="341" t="s">
        <v>109</v>
      </c>
      <c r="B31" s="443" t="s">
        <v>110</v>
      </c>
      <c r="C31" s="30" t="s">
        <v>108</v>
      </c>
      <c r="D31" s="1"/>
      <c r="E31" s="36">
        <f>180*1.15</f>
        <v>206.99999999999997</v>
      </c>
      <c r="F31" s="41">
        <v>0.2</v>
      </c>
      <c r="G31" s="348">
        <f>E31/(1-F31)</f>
        <v>258.74999999999994</v>
      </c>
      <c r="H31" s="348">
        <f>65</f>
        <v>65</v>
      </c>
      <c r="I31" s="83">
        <v>0.15</v>
      </c>
      <c r="J31" s="79">
        <f>H31*(1+I31)</f>
        <v>74.75</v>
      </c>
      <c r="K31" s="349">
        <f>J31*D31</f>
        <v>0</v>
      </c>
      <c r="L31" s="350">
        <f>G31+J31</f>
        <v>333.49999999999994</v>
      </c>
      <c r="M31" s="351">
        <f>D31*L31</f>
        <v>0</v>
      </c>
      <c r="N31" s="258"/>
      <c r="O31" s="258"/>
    </row>
    <row r="32" spans="1:15" ht="14.15" customHeight="1" x14ac:dyDescent="0.3">
      <c r="A32" s="341" t="s">
        <v>111</v>
      </c>
      <c r="B32" s="443" t="s">
        <v>112</v>
      </c>
      <c r="C32" s="30" t="s">
        <v>108</v>
      </c>
      <c r="D32" s="1">
        <f>6+N("3m per electrode")</f>
        <v>6</v>
      </c>
      <c r="E32" s="36">
        <f>190</f>
        <v>190</v>
      </c>
      <c r="F32" s="41">
        <v>0.2</v>
      </c>
      <c r="G32" s="348">
        <f>E32/(1-F32)</f>
        <v>237.5</v>
      </c>
      <c r="H32" s="348">
        <f>65</f>
        <v>65</v>
      </c>
      <c r="I32" s="83">
        <v>0.15</v>
      </c>
      <c r="J32" s="79">
        <f>H32*(1+I32)</f>
        <v>74.75</v>
      </c>
      <c r="K32" s="349">
        <f>J32*D32</f>
        <v>448.5</v>
      </c>
      <c r="L32" s="350">
        <f>G32+J32</f>
        <v>312.25</v>
      </c>
      <c r="M32" s="351">
        <f>D32*L32</f>
        <v>1873.5</v>
      </c>
      <c r="N32" s="258"/>
      <c r="O32" s="258"/>
    </row>
    <row r="33" spans="1:15" ht="14.5" customHeight="1" thickBot="1" x14ac:dyDescent="0.35">
      <c r="A33" s="381"/>
      <c r="B33" s="447" t="s">
        <v>113</v>
      </c>
      <c r="C33" s="49" t="s">
        <v>108</v>
      </c>
      <c r="D33" s="50"/>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441"/>
      <c r="C34" s="71"/>
      <c r="D34" s="72"/>
      <c r="E34" s="73"/>
      <c r="F34" s="74"/>
      <c r="G34" s="356"/>
      <c r="H34" s="356"/>
      <c r="I34" s="73"/>
      <c r="J34" s="73"/>
      <c r="K34" s="357"/>
      <c r="L34" s="358"/>
      <c r="M34" s="358"/>
      <c r="N34" s="258"/>
      <c r="O34" s="258"/>
    </row>
    <row r="35" spans="1:15" ht="14.15" customHeight="1" x14ac:dyDescent="0.3">
      <c r="A35" s="359">
        <v>2.7</v>
      </c>
      <c r="B35" s="360"/>
      <c r="C35" s="255"/>
      <c r="D35" s="58" t="s">
        <v>114</v>
      </c>
      <c r="E35" s="56"/>
      <c r="F35" s="57"/>
      <c r="G35" s="361"/>
      <c r="H35" s="361"/>
      <c r="I35" s="56"/>
      <c r="J35" s="56"/>
      <c r="K35" s="362"/>
      <c r="L35" s="363"/>
      <c r="M35" s="363"/>
      <c r="N35" s="258"/>
      <c r="O35" s="258"/>
    </row>
    <row r="36" spans="1:15" ht="28" customHeight="1" x14ac:dyDescent="0.3">
      <c r="A36" s="370" t="s">
        <v>115</v>
      </c>
      <c r="B36" s="444" t="s">
        <v>116</v>
      </c>
      <c r="C36" s="7" t="s">
        <v>90</v>
      </c>
      <c r="D36" s="7">
        <v>1</v>
      </c>
      <c r="E36" s="37">
        <f>13501.37*1.2</f>
        <v>16201.644</v>
      </c>
      <c r="F36" s="41">
        <v>0.2</v>
      </c>
      <c r="G36" s="348">
        <f>E36/(1-F36)</f>
        <v>20252.055</v>
      </c>
      <c r="H36" s="371">
        <f>250*2</f>
        <v>500</v>
      </c>
      <c r="I36" s="83">
        <v>0.15</v>
      </c>
      <c r="J36" s="79">
        <f>H36*(1+I36)</f>
        <v>575</v>
      </c>
      <c r="K36" s="349">
        <f>J36*D36</f>
        <v>575</v>
      </c>
      <c r="L36" s="350">
        <f>G36+J36</f>
        <v>20827.055</v>
      </c>
      <c r="M36" s="351">
        <f>D36*L36</f>
        <v>20827.055</v>
      </c>
      <c r="N36" s="258"/>
      <c r="O36" s="258"/>
    </row>
    <row r="37" spans="1:15" ht="28.5" customHeight="1" thickBot="1" x14ac:dyDescent="0.35">
      <c r="A37" s="381" t="s">
        <v>117</v>
      </c>
      <c r="B37" s="446" t="s">
        <v>118</v>
      </c>
      <c r="C37" s="68" t="s">
        <v>90</v>
      </c>
      <c r="D37" s="68">
        <v>0</v>
      </c>
      <c r="E37" s="69">
        <f>13501.37*1.2</f>
        <v>16201.644</v>
      </c>
      <c r="F37" s="52">
        <v>0.2</v>
      </c>
      <c r="G37" s="376">
        <f>E37/(1-F37)</f>
        <v>20252.055</v>
      </c>
      <c r="H37" s="377">
        <f>250*2</f>
        <v>500</v>
      </c>
      <c r="I37" s="83">
        <v>0.15</v>
      </c>
      <c r="J37" s="79">
        <f>H37*(1+I37)</f>
        <v>575</v>
      </c>
      <c r="K37" s="382">
        <f>J37*D37</f>
        <v>0</v>
      </c>
      <c r="L37" s="350">
        <f>G37+J37</f>
        <v>20827.055</v>
      </c>
      <c r="M37" s="378">
        <f>D37*L37</f>
        <v>0</v>
      </c>
      <c r="N37" s="258"/>
      <c r="O37" s="258"/>
    </row>
    <row r="38" spans="1:15" ht="14.5" customHeight="1" thickBot="1" x14ac:dyDescent="0.35">
      <c r="A38" s="354"/>
      <c r="B38" s="441"/>
      <c r="C38" s="71"/>
      <c r="D38" s="72"/>
      <c r="E38" s="73"/>
      <c r="F38" s="74"/>
      <c r="G38" s="356"/>
      <c r="H38" s="356"/>
      <c r="I38" s="73"/>
      <c r="J38" s="73"/>
      <c r="K38" s="357"/>
      <c r="L38" s="358"/>
      <c r="M38" s="358"/>
      <c r="N38" s="258"/>
      <c r="O38" s="258"/>
    </row>
    <row r="39" spans="1:15" ht="16.5" customHeight="1" x14ac:dyDescent="0.3">
      <c r="A39" s="359">
        <v>2.8</v>
      </c>
      <c r="B39" s="360"/>
      <c r="C39" s="255"/>
      <c r="D39" s="58" t="s">
        <v>119</v>
      </c>
      <c r="E39" s="56"/>
      <c r="F39" s="57"/>
      <c r="G39" s="361"/>
      <c r="H39" s="361"/>
      <c r="I39" s="56"/>
      <c r="J39" s="56"/>
      <c r="K39" s="362"/>
      <c r="L39" s="363"/>
      <c r="M39" s="363"/>
      <c r="N39" s="258"/>
      <c r="O39" s="258"/>
    </row>
    <row r="40" spans="1:15" ht="16.5" customHeight="1" x14ac:dyDescent="0.3">
      <c r="A40" s="384"/>
      <c r="B40" s="342"/>
      <c r="C40" s="30"/>
      <c r="D40" s="1"/>
      <c r="E40" s="36"/>
      <c r="F40" s="41"/>
      <c r="G40" s="348"/>
      <c r="H40" s="348"/>
      <c r="I40" s="83"/>
      <c r="J40" s="79"/>
      <c r="K40" s="349"/>
      <c r="L40" s="350"/>
      <c r="M40" s="351"/>
      <c r="N40" s="258"/>
      <c r="O40" s="258"/>
    </row>
    <row r="41" spans="1:15" ht="14.15" customHeight="1" x14ac:dyDescent="0.3">
      <c r="A41" s="341" t="s">
        <v>120</v>
      </c>
      <c r="B41" s="385" t="s">
        <v>121</v>
      </c>
      <c r="C41" s="30" t="s">
        <v>90</v>
      </c>
      <c r="D41" s="1">
        <v>0</v>
      </c>
      <c r="E41" s="36">
        <v>2500</v>
      </c>
      <c r="F41" s="41">
        <v>0.2</v>
      </c>
      <c r="G41" s="348">
        <f>E41/(1-F41)</f>
        <v>3125</v>
      </c>
      <c r="H41" s="348">
        <f>(250+100)*4</f>
        <v>1400</v>
      </c>
      <c r="I41" s="83">
        <v>0.15</v>
      </c>
      <c r="J41" s="79">
        <f>H41*(1+I41)</f>
        <v>1609.9999999999998</v>
      </c>
      <c r="K41" s="349">
        <f>J41*D41</f>
        <v>0</v>
      </c>
      <c r="L41" s="350">
        <f>G41+J41</f>
        <v>4735</v>
      </c>
      <c r="M41" s="351">
        <f>D41*L41</f>
        <v>0</v>
      </c>
      <c r="N41" s="258"/>
      <c r="O41" s="258"/>
    </row>
    <row r="42" spans="1:15" ht="14.15" customHeight="1" x14ac:dyDescent="0.3">
      <c r="A42" s="341"/>
      <c r="B42" s="448"/>
      <c r="C42" s="27"/>
      <c r="D42" s="1"/>
      <c r="E42" s="36"/>
      <c r="F42" s="41"/>
      <c r="G42" s="348"/>
      <c r="H42" s="348"/>
      <c r="I42" s="79"/>
      <c r="J42" s="79"/>
      <c r="K42" s="349"/>
      <c r="L42" s="350"/>
      <c r="M42" s="351"/>
      <c r="N42" s="258"/>
      <c r="O42" s="258"/>
    </row>
    <row r="43" spans="1:15" ht="14.15" customHeight="1" x14ac:dyDescent="0.3">
      <c r="A43" s="341" t="s">
        <v>122</v>
      </c>
      <c r="B43" s="385" t="s">
        <v>123</v>
      </c>
      <c r="C43" s="30" t="s">
        <v>90</v>
      </c>
      <c r="D43" s="1">
        <v>0</v>
      </c>
      <c r="E43" s="36">
        <v>1800</v>
      </c>
      <c r="F43" s="41">
        <v>0.2</v>
      </c>
      <c r="G43" s="348">
        <f>E43/(1-F43)</f>
        <v>2250</v>
      </c>
      <c r="H43" s="348">
        <f>(250+100)*4</f>
        <v>1400</v>
      </c>
      <c r="I43" s="83">
        <v>0.15</v>
      </c>
      <c r="J43" s="79">
        <f>H43*(1+I43)</f>
        <v>1609.9999999999998</v>
      </c>
      <c r="K43" s="349">
        <f>J43*D43</f>
        <v>0</v>
      </c>
      <c r="L43" s="350">
        <f>G43+J43</f>
        <v>3860</v>
      </c>
      <c r="M43" s="351">
        <f>D43*L43</f>
        <v>0</v>
      </c>
      <c r="N43" s="258"/>
      <c r="O43" s="258"/>
    </row>
    <row r="44" spans="1:15" ht="14.15" customHeight="1" x14ac:dyDescent="0.3">
      <c r="A44" s="341"/>
      <c r="B44" s="385"/>
      <c r="C44" s="30"/>
      <c r="D44" s="1"/>
      <c r="E44" s="36"/>
      <c r="F44" s="41"/>
      <c r="G44" s="348"/>
      <c r="H44" s="348"/>
      <c r="I44" s="79"/>
      <c r="J44" s="79"/>
      <c r="K44" s="349"/>
      <c r="L44" s="350"/>
      <c r="M44" s="351"/>
      <c r="N44" s="258"/>
      <c r="O44" s="258"/>
    </row>
    <row r="45" spans="1:15" ht="14.15" customHeight="1" x14ac:dyDescent="0.3">
      <c r="A45" s="341" t="s">
        <v>124</v>
      </c>
      <c r="B45" s="385" t="s">
        <v>125</v>
      </c>
      <c r="C45" s="30" t="s">
        <v>90</v>
      </c>
      <c r="D45" s="1">
        <f>4 + N("2 Isolator + 2 CB")</f>
        <v>4</v>
      </c>
      <c r="E45" s="36">
        <f>550*1.2</f>
        <v>660</v>
      </c>
      <c r="F45" s="41">
        <v>0.2</v>
      </c>
      <c r="G45" s="348">
        <f>E45/(1-F45)</f>
        <v>825</v>
      </c>
      <c r="H45" s="348">
        <f>(250+100)*4</f>
        <v>1400</v>
      </c>
      <c r="I45" s="83">
        <v>0.15</v>
      </c>
      <c r="J45" s="79">
        <f>H45*(1+I45)</f>
        <v>1609.9999999999998</v>
      </c>
      <c r="K45" s="349">
        <f>J45*D45</f>
        <v>6439.9999999999991</v>
      </c>
      <c r="L45" s="350">
        <f>G45+J45</f>
        <v>2435</v>
      </c>
      <c r="M45" s="351">
        <f>D45*L45</f>
        <v>9740</v>
      </c>
      <c r="N45" s="258"/>
      <c r="O45" s="258"/>
    </row>
    <row r="46" spans="1:15" ht="14.15" customHeight="1" x14ac:dyDescent="0.3">
      <c r="A46" s="341"/>
      <c r="B46" s="387"/>
      <c r="C46" s="27"/>
      <c r="D46" s="1"/>
      <c r="E46" s="36"/>
      <c r="F46" s="41"/>
      <c r="G46" s="348"/>
      <c r="H46" s="348"/>
      <c r="I46" s="79"/>
      <c r="J46" s="79"/>
      <c r="K46" s="349"/>
      <c r="L46" s="350"/>
      <c r="M46" s="351"/>
      <c r="N46" s="258"/>
      <c r="O46" s="258"/>
    </row>
    <row r="47" spans="1:15" ht="14.5" customHeight="1" thickBot="1" x14ac:dyDescent="0.35">
      <c r="A47" s="381" t="s">
        <v>126</v>
      </c>
      <c r="B47" s="388" t="s">
        <v>127</v>
      </c>
      <c r="C47" s="49" t="s">
        <v>90</v>
      </c>
      <c r="D47" s="50">
        <v>1</v>
      </c>
      <c r="E47" s="51">
        <f>550*1.2</f>
        <v>660</v>
      </c>
      <c r="F47" s="52">
        <v>0.2</v>
      </c>
      <c r="G47" s="376">
        <f>E47/(1-F47)</f>
        <v>825</v>
      </c>
      <c r="H47" s="376">
        <f>(250+100)*4</f>
        <v>1400</v>
      </c>
      <c r="I47" s="83">
        <v>0.15</v>
      </c>
      <c r="J47" s="79">
        <f>H47*(1+I47)</f>
        <v>1609.9999999999998</v>
      </c>
      <c r="K47" s="349">
        <f>J47*D47</f>
        <v>1609.9999999999998</v>
      </c>
      <c r="L47" s="350">
        <f>G47+J47</f>
        <v>2435</v>
      </c>
      <c r="M47" s="378">
        <f>D47*L47</f>
        <v>2435</v>
      </c>
      <c r="N47" s="258"/>
      <c r="O47" s="258"/>
    </row>
    <row r="48" spans="1:15" ht="14.5" customHeight="1" thickBot="1" x14ac:dyDescent="0.35">
      <c r="A48" s="354"/>
      <c r="B48" s="441"/>
      <c r="C48" s="71"/>
      <c r="D48" s="72"/>
      <c r="E48" s="73"/>
      <c r="F48" s="74"/>
      <c r="G48" s="356"/>
      <c r="H48" s="356"/>
      <c r="I48" s="73"/>
      <c r="J48" s="73"/>
      <c r="K48" s="357"/>
      <c r="L48" s="358"/>
      <c r="M48" s="358"/>
      <c r="N48" s="258"/>
      <c r="O48" s="258"/>
    </row>
    <row r="49" spans="1:15" ht="16.5" customHeight="1" x14ac:dyDescent="0.3">
      <c r="A49" s="359">
        <v>2.9</v>
      </c>
      <c r="B49" s="367"/>
      <c r="C49" s="255"/>
      <c r="D49" s="58" t="s">
        <v>128</v>
      </c>
      <c r="E49" s="56"/>
      <c r="F49" s="57"/>
      <c r="G49" s="361"/>
      <c r="H49" s="361"/>
      <c r="I49" s="56"/>
      <c r="J49" s="56"/>
      <c r="K49" s="362"/>
      <c r="L49" s="363"/>
      <c r="M49" s="363"/>
      <c r="N49" s="258"/>
      <c r="O49" s="258"/>
    </row>
    <row r="50" spans="1:15" ht="16.5" customHeight="1" x14ac:dyDescent="0.3">
      <c r="A50" s="341"/>
      <c r="B50" s="342"/>
      <c r="C50" s="30"/>
      <c r="D50" s="1"/>
      <c r="E50" s="36"/>
      <c r="F50" s="41"/>
      <c r="G50" s="348"/>
      <c r="H50" s="348"/>
      <c r="I50" s="79"/>
      <c r="J50" s="79"/>
      <c r="K50" s="349"/>
      <c r="L50" s="350"/>
      <c r="M50" s="351"/>
      <c r="N50" s="258"/>
      <c r="O50" s="258"/>
    </row>
    <row r="51" spans="1:15" ht="14.15" customHeight="1" x14ac:dyDescent="0.3">
      <c r="A51" s="341" t="s">
        <v>129</v>
      </c>
      <c r="B51" s="385" t="s">
        <v>130</v>
      </c>
      <c r="C51" s="30" t="s">
        <v>85</v>
      </c>
      <c r="D51" s="1">
        <v>0</v>
      </c>
      <c r="E51" s="36">
        <v>2500</v>
      </c>
      <c r="F51" s="41">
        <v>0.2</v>
      </c>
      <c r="G51" s="348">
        <f>E51/(1-F51)</f>
        <v>3125</v>
      </c>
      <c r="H51" s="348">
        <f>250*1</f>
        <v>250</v>
      </c>
      <c r="I51" s="83">
        <v>0.15</v>
      </c>
      <c r="J51" s="79">
        <f>H51*(1+I51)</f>
        <v>287.5</v>
      </c>
      <c r="K51" s="349">
        <f>J51*D51</f>
        <v>0</v>
      </c>
      <c r="L51" s="350">
        <f>G51+J51</f>
        <v>3412.5</v>
      </c>
      <c r="M51" s="351">
        <f>D51*L51</f>
        <v>0</v>
      </c>
      <c r="N51" s="258"/>
      <c r="O51" s="258"/>
    </row>
    <row r="52" spans="1:15" ht="14.15" customHeight="1" x14ac:dyDescent="0.3">
      <c r="A52" s="341"/>
      <c r="B52" s="385"/>
      <c r="C52" s="30"/>
      <c r="D52" s="1"/>
      <c r="E52" s="36"/>
      <c r="F52" s="41"/>
      <c r="G52" s="348"/>
      <c r="H52" s="348"/>
      <c r="I52" s="79"/>
      <c r="J52" s="79"/>
      <c r="K52" s="349"/>
      <c r="L52" s="350"/>
      <c r="M52" s="351"/>
      <c r="N52" s="258"/>
      <c r="O52" s="258"/>
    </row>
    <row r="53" spans="1:15" ht="14.15" customHeight="1" x14ac:dyDescent="0.3">
      <c r="A53" s="341" t="s">
        <v>131</v>
      </c>
      <c r="B53" s="385" t="s">
        <v>132</v>
      </c>
      <c r="C53" s="30" t="s">
        <v>85</v>
      </c>
      <c r="D53" s="1">
        <f>3 + N("AC in&amp;out with db for circuits split")</f>
        <v>3</v>
      </c>
      <c r="E53" s="36">
        <v>5729</v>
      </c>
      <c r="F53" s="41">
        <v>0.2</v>
      </c>
      <c r="G53" s="348">
        <f>E53/(1-F53)</f>
        <v>7161.25</v>
      </c>
      <c r="H53" s="348">
        <v>250</v>
      </c>
      <c r="I53" s="83">
        <v>0.15</v>
      </c>
      <c r="J53" s="79">
        <f>H53*(1+I53)</f>
        <v>287.5</v>
      </c>
      <c r="K53" s="349">
        <f>J53*D53</f>
        <v>862.5</v>
      </c>
      <c r="L53" s="350">
        <f>G53+J53</f>
        <v>7448.75</v>
      </c>
      <c r="M53" s="351">
        <f>D53*L53</f>
        <v>22346.25</v>
      </c>
      <c r="N53" s="258"/>
      <c r="O53" s="258"/>
    </row>
    <row r="54" spans="1:15" ht="14.15" customHeight="1" x14ac:dyDescent="0.3">
      <c r="A54" s="341"/>
      <c r="B54" s="387"/>
      <c r="C54" s="27"/>
      <c r="D54" s="1"/>
      <c r="E54" s="36"/>
      <c r="F54" s="41"/>
      <c r="G54" s="348"/>
      <c r="H54" s="348"/>
      <c r="I54" s="79"/>
      <c r="J54" s="79"/>
      <c r="K54" s="349"/>
      <c r="L54" s="350"/>
      <c r="M54" s="351"/>
      <c r="N54" s="258"/>
      <c r="O54" s="258"/>
    </row>
    <row r="55" spans="1:15" ht="14.15" customHeight="1" x14ac:dyDescent="0.3">
      <c r="A55" s="341" t="s">
        <v>133</v>
      </c>
      <c r="B55" s="387" t="s">
        <v>134</v>
      </c>
      <c r="C55" s="30" t="s">
        <v>85</v>
      </c>
      <c r="D55" s="1">
        <v>1</v>
      </c>
      <c r="E55" s="36">
        <f>5729</f>
        <v>5729</v>
      </c>
      <c r="F55" s="41">
        <v>0.2</v>
      </c>
      <c r="G55" s="348">
        <f>E55/(1-F55)</f>
        <v>7161.25</v>
      </c>
      <c r="H55" s="348">
        <v>250</v>
      </c>
      <c r="I55" s="83">
        <v>0.15</v>
      </c>
      <c r="J55" s="79">
        <f>H55*(1+I55)</f>
        <v>287.5</v>
      </c>
      <c r="K55" s="349">
        <f>J55*D55</f>
        <v>287.5</v>
      </c>
      <c r="L55" s="350">
        <f>G55+J55</f>
        <v>7448.75</v>
      </c>
      <c r="M55" s="351">
        <f>D55*L55</f>
        <v>7448.75</v>
      </c>
      <c r="N55" s="258"/>
      <c r="O55" s="258"/>
    </row>
    <row r="56" spans="1:15" ht="14.15" customHeight="1" x14ac:dyDescent="0.3">
      <c r="A56" s="341"/>
      <c r="B56" s="387"/>
      <c r="C56" s="29"/>
      <c r="D56" s="1"/>
      <c r="E56" s="36"/>
      <c r="F56" s="41"/>
      <c r="G56" s="348"/>
      <c r="H56" s="348"/>
      <c r="I56" s="79"/>
      <c r="J56" s="79"/>
      <c r="K56" s="349"/>
      <c r="L56" s="350"/>
      <c r="M56" s="351"/>
      <c r="N56" s="258"/>
      <c r="O56" s="258"/>
    </row>
    <row r="57" spans="1:15" ht="28" customHeight="1" x14ac:dyDescent="0.3">
      <c r="A57" s="341" t="s">
        <v>135</v>
      </c>
      <c r="B57" s="385" t="s">
        <v>136</v>
      </c>
      <c r="C57" s="248" t="s">
        <v>85</v>
      </c>
      <c r="D57" s="1">
        <v>2</v>
      </c>
      <c r="E57" s="36">
        <v>350</v>
      </c>
      <c r="F57" s="41">
        <v>0.2</v>
      </c>
      <c r="G57" s="348">
        <f>E57/(1-F57)</f>
        <v>437.5</v>
      </c>
      <c r="H57" s="348">
        <v>250</v>
      </c>
      <c r="I57" s="83">
        <v>0.15</v>
      </c>
      <c r="J57" s="79">
        <f>H57*(1+I57)</f>
        <v>287.5</v>
      </c>
      <c r="K57" s="349">
        <f>J57*D57</f>
        <v>575</v>
      </c>
      <c r="L57" s="350">
        <f>G57+J57</f>
        <v>725</v>
      </c>
      <c r="M57" s="351">
        <f>D57*L57</f>
        <v>1450</v>
      </c>
      <c r="N57" s="258"/>
      <c r="O57" s="258"/>
    </row>
    <row r="58" spans="1:15" ht="14.15" customHeight="1" x14ac:dyDescent="0.3">
      <c r="A58" s="341"/>
      <c r="B58" s="387"/>
      <c r="C58" s="27"/>
      <c r="D58" s="1"/>
      <c r="E58" s="36"/>
      <c r="F58" s="41"/>
      <c r="G58" s="348"/>
      <c r="H58" s="348"/>
      <c r="I58" s="79"/>
      <c r="J58" s="79"/>
      <c r="K58" s="349"/>
      <c r="L58" s="350"/>
      <c r="M58" s="351"/>
      <c r="N58" s="258"/>
      <c r="O58" s="258"/>
    </row>
    <row r="59" spans="1:15" ht="14.15" customHeight="1" x14ac:dyDescent="0.3">
      <c r="A59" s="341" t="s">
        <v>137</v>
      </c>
      <c r="B59" s="385" t="s">
        <v>138</v>
      </c>
      <c r="C59" s="248" t="s">
        <v>108</v>
      </c>
      <c r="D59" s="1">
        <v>20</v>
      </c>
      <c r="E59" s="36">
        <f>35</f>
        <v>35</v>
      </c>
      <c r="F59" s="41">
        <v>0.2</v>
      </c>
      <c r="G59" s="348">
        <f>E59/(1-F59)</f>
        <v>43.75</v>
      </c>
      <c r="H59" s="348">
        <f>(65*3)</f>
        <v>195</v>
      </c>
      <c r="I59" s="83">
        <v>0.15</v>
      </c>
      <c r="J59" s="79">
        <f>H59*(1+I59)</f>
        <v>224.24999999999997</v>
      </c>
      <c r="K59" s="349">
        <f>J59*D59</f>
        <v>4484.9999999999991</v>
      </c>
      <c r="L59" s="350">
        <f>G59+J59</f>
        <v>268</v>
      </c>
      <c r="M59" s="351">
        <f>D59*L59</f>
        <v>5360</v>
      </c>
      <c r="N59" s="258"/>
      <c r="O59" s="258"/>
    </row>
    <row r="60" spans="1:15" ht="14.15" customHeight="1" x14ac:dyDescent="0.3">
      <c r="A60" s="341"/>
      <c r="B60" s="387"/>
      <c r="C60" s="29"/>
      <c r="D60" s="1"/>
      <c r="E60" s="36"/>
      <c r="F60" s="41"/>
      <c r="G60" s="348"/>
      <c r="H60" s="348"/>
      <c r="I60" s="79"/>
      <c r="J60" s="79"/>
      <c r="K60" s="349"/>
      <c r="L60" s="350"/>
      <c r="M60" s="351"/>
      <c r="N60" s="258"/>
      <c r="O60" s="258"/>
    </row>
    <row r="61" spans="1:15" ht="14.5" customHeight="1" thickBot="1" x14ac:dyDescent="0.35">
      <c r="A61" s="341" t="s">
        <v>139</v>
      </c>
      <c r="B61" s="385" t="s">
        <v>140</v>
      </c>
      <c r="C61" s="30" t="s">
        <v>42</v>
      </c>
      <c r="D61" s="1">
        <v>1</v>
      </c>
      <c r="E61" s="36">
        <v>1</v>
      </c>
      <c r="F61" s="41">
        <v>0.2</v>
      </c>
      <c r="G61" s="348">
        <f>E61/(1-F61)</f>
        <v>1.25</v>
      </c>
      <c r="H61" s="348">
        <f>2500*3</f>
        <v>7500</v>
      </c>
      <c r="I61" s="83">
        <v>0.15</v>
      </c>
      <c r="J61" s="79">
        <f>H61*(1+I61)</f>
        <v>8625</v>
      </c>
      <c r="K61" s="349">
        <f>J61*D61</f>
        <v>8625</v>
      </c>
      <c r="L61" s="350">
        <f>G61+J61</f>
        <v>8626.25</v>
      </c>
      <c r="M61" s="351">
        <f>D61*L61</f>
        <v>8626.25</v>
      </c>
      <c r="N61" s="258"/>
      <c r="O61" s="258"/>
    </row>
    <row r="62" spans="1:15" ht="14.5" customHeight="1" thickBot="1" x14ac:dyDescent="0.35">
      <c r="A62" s="354"/>
      <c r="B62" s="441"/>
      <c r="C62" s="71"/>
      <c r="D62" s="72"/>
      <c r="E62" s="73"/>
      <c r="F62" s="74"/>
      <c r="G62" s="356"/>
      <c r="H62" s="356"/>
      <c r="I62" s="73"/>
      <c r="J62" s="73"/>
      <c r="K62" s="357"/>
      <c r="L62" s="358"/>
      <c r="M62" s="358"/>
      <c r="N62" s="258"/>
      <c r="O62" s="258"/>
    </row>
    <row r="63" spans="1:15" ht="14.15" customHeight="1" x14ac:dyDescent="0.3">
      <c r="A63" s="389">
        <v>2.1</v>
      </c>
      <c r="B63" s="390"/>
      <c r="C63" s="251"/>
      <c r="D63" s="65" t="s">
        <v>141</v>
      </c>
      <c r="E63" s="53"/>
      <c r="F63" s="54"/>
      <c r="G63" s="391"/>
      <c r="H63" s="391"/>
      <c r="I63" s="53"/>
      <c r="J63" s="53"/>
      <c r="K63" s="392"/>
      <c r="L63" s="393"/>
      <c r="M63" s="393"/>
      <c r="N63" s="258"/>
      <c r="O63" s="258"/>
    </row>
    <row r="64" spans="1:15" ht="28" customHeight="1" x14ac:dyDescent="0.3">
      <c r="A64" s="370" t="s">
        <v>142</v>
      </c>
      <c r="B64" s="444" t="s">
        <v>143</v>
      </c>
      <c r="C64" s="7" t="s">
        <v>85</v>
      </c>
      <c r="D64" s="7">
        <f>2 + N("1 for inverter and battery")</f>
        <v>2</v>
      </c>
      <c r="E64" s="37">
        <v>10000</v>
      </c>
      <c r="F64" s="41">
        <v>0.16</v>
      </c>
      <c r="G64" s="348">
        <f>E64/(1-F64)</f>
        <v>11904.761904761905</v>
      </c>
      <c r="H64" s="371">
        <v>200</v>
      </c>
      <c r="I64" s="83">
        <v>0.15</v>
      </c>
      <c r="J64" s="79">
        <f>H64*(1+I64)</f>
        <v>229.99999999999997</v>
      </c>
      <c r="K64" s="349">
        <f>J64*D64</f>
        <v>459.99999999999994</v>
      </c>
      <c r="L64" s="350">
        <f>G64+J64</f>
        <v>12134.761904761905</v>
      </c>
      <c r="M64" s="351">
        <f>D64*L64</f>
        <v>24269.523809523809</v>
      </c>
      <c r="N64" s="258"/>
      <c r="O64" s="258"/>
    </row>
    <row r="65" spans="1:15" ht="14.15" customHeight="1" x14ac:dyDescent="0.3">
      <c r="A65" s="394"/>
      <c r="B65" s="395"/>
      <c r="C65" s="30"/>
      <c r="D65" s="248"/>
      <c r="E65" s="36"/>
      <c r="F65" s="41"/>
      <c r="G65" s="348"/>
      <c r="H65" s="348"/>
      <c r="I65" s="79"/>
      <c r="J65" s="79"/>
      <c r="K65" s="349"/>
      <c r="L65" s="350"/>
      <c r="M65" s="351"/>
      <c r="N65" s="258"/>
      <c r="O65" s="258"/>
    </row>
    <row r="66" spans="1:15" ht="28.5" customHeight="1" thickBot="1" x14ac:dyDescent="0.35">
      <c r="A66" s="396" t="s">
        <v>144</v>
      </c>
      <c r="B66" s="446" t="s">
        <v>145</v>
      </c>
      <c r="C66" s="68" t="s">
        <v>85</v>
      </c>
      <c r="D66" s="68">
        <v>0</v>
      </c>
      <c r="E66" s="69">
        <v>7500</v>
      </c>
      <c r="F66" s="52">
        <v>0.16</v>
      </c>
      <c r="G66" s="376">
        <f>E66/(1-F66)</f>
        <v>8928.5714285714294</v>
      </c>
      <c r="H66" s="377">
        <v>200</v>
      </c>
      <c r="I66" s="83">
        <v>0.15</v>
      </c>
      <c r="J66" s="79">
        <f>H66*(1+I66)</f>
        <v>229.99999999999997</v>
      </c>
      <c r="K66" s="382">
        <f>J66*D66</f>
        <v>0</v>
      </c>
      <c r="L66" s="350">
        <f>G66+J66</f>
        <v>9158.5714285714294</v>
      </c>
      <c r="M66" s="378">
        <f>D66*L66</f>
        <v>0</v>
      </c>
      <c r="N66" s="258"/>
      <c r="O66" s="258"/>
    </row>
    <row r="67" spans="1:15" ht="14.5" customHeight="1" thickBot="1" x14ac:dyDescent="0.35">
      <c r="A67" s="397"/>
      <c r="B67" s="449"/>
      <c r="C67" s="71"/>
      <c r="D67" s="72"/>
      <c r="E67" s="73"/>
      <c r="F67" s="74"/>
      <c r="G67" s="356"/>
      <c r="H67" s="356"/>
      <c r="I67" s="73"/>
      <c r="J67" s="73"/>
      <c r="K67" s="357"/>
      <c r="L67" s="358"/>
      <c r="M67" s="358"/>
      <c r="N67" s="258"/>
      <c r="O67" s="258"/>
    </row>
    <row r="68" spans="1:15" ht="14.15" customHeight="1" x14ac:dyDescent="0.3">
      <c r="A68" s="359">
        <v>2.11</v>
      </c>
      <c r="B68" s="450"/>
      <c r="C68" s="75"/>
      <c r="D68" s="58" t="s">
        <v>146</v>
      </c>
      <c r="E68" s="56"/>
      <c r="F68" s="57"/>
      <c r="G68" s="361"/>
      <c r="H68" s="361"/>
      <c r="I68" s="56"/>
      <c r="J68" s="56"/>
      <c r="K68" s="362"/>
      <c r="L68" s="363"/>
      <c r="M68" s="363"/>
      <c r="N68" s="258"/>
      <c r="O68" s="258"/>
    </row>
    <row r="69" spans="1:15" ht="14.15" customHeight="1" x14ac:dyDescent="0.3">
      <c r="A69" s="341"/>
      <c r="B69" s="444"/>
      <c r="C69" s="70"/>
      <c r="D69" s="1"/>
      <c r="E69" s="36"/>
      <c r="F69" s="41"/>
      <c r="G69" s="348"/>
      <c r="H69" s="348"/>
      <c r="I69" s="79"/>
      <c r="J69" s="79"/>
      <c r="K69" s="349"/>
      <c r="L69" s="350"/>
      <c r="M69" s="351"/>
      <c r="N69" s="258"/>
      <c r="O69" s="258"/>
    </row>
    <row r="70" spans="1:15" ht="14.15" customHeight="1" x14ac:dyDescent="0.3">
      <c r="A70" s="341"/>
      <c r="B70" s="443" t="s">
        <v>147</v>
      </c>
      <c r="C70" s="27"/>
      <c r="D70" s="1"/>
      <c r="E70" s="36"/>
      <c r="F70" s="41"/>
      <c r="G70" s="348"/>
      <c r="H70" s="348"/>
      <c r="I70" s="79"/>
      <c r="J70" s="79"/>
      <c r="K70" s="349"/>
      <c r="L70" s="350"/>
      <c r="M70" s="351"/>
      <c r="N70" s="258"/>
      <c r="O70" s="258"/>
    </row>
    <row r="71" spans="1:15" ht="14.15" customHeight="1" x14ac:dyDescent="0.3">
      <c r="A71" s="341"/>
      <c r="B71" s="448"/>
      <c r="C71" s="27"/>
      <c r="D71" s="1"/>
      <c r="E71" s="36"/>
      <c r="F71" s="41"/>
      <c r="G71" s="348"/>
      <c r="H71" s="348"/>
      <c r="I71" s="79"/>
      <c r="J71" s="79"/>
      <c r="K71" s="349"/>
      <c r="L71" s="350"/>
      <c r="M71" s="351"/>
      <c r="N71" s="258"/>
      <c r="O71" s="258"/>
    </row>
    <row r="72" spans="1:15" ht="42" customHeight="1" x14ac:dyDescent="0.3">
      <c r="A72" s="341"/>
      <c r="B72" s="448" t="s">
        <v>148</v>
      </c>
      <c r="C72" s="27"/>
      <c r="D72" s="248"/>
      <c r="E72" s="36"/>
      <c r="F72" s="41"/>
      <c r="G72" s="348"/>
      <c r="H72" s="348"/>
      <c r="I72" s="79"/>
      <c r="J72" s="79"/>
      <c r="K72" s="349"/>
      <c r="L72" s="350"/>
      <c r="M72" s="351"/>
      <c r="N72" s="258"/>
      <c r="O72" s="258"/>
    </row>
    <row r="73" spans="1:15" ht="14.15" customHeight="1" x14ac:dyDescent="0.3">
      <c r="A73" s="384"/>
      <c r="B73" s="443"/>
      <c r="C73" s="27"/>
      <c r="D73" s="28"/>
      <c r="E73" s="38"/>
      <c r="F73" s="41"/>
      <c r="G73" s="348"/>
      <c r="H73" s="400"/>
      <c r="I73" s="81"/>
      <c r="J73" s="81"/>
      <c r="K73" s="349"/>
      <c r="L73" s="350"/>
      <c r="M73" s="351"/>
      <c r="N73" s="258"/>
      <c r="O73" s="258"/>
    </row>
    <row r="74" spans="1:15" ht="14.15" customHeight="1" x14ac:dyDescent="0.3">
      <c r="A74" s="341" t="s">
        <v>149</v>
      </c>
      <c r="B74" s="443" t="s">
        <v>150</v>
      </c>
      <c r="C74" s="27" t="s">
        <v>108</v>
      </c>
      <c r="D74" s="1">
        <v>0</v>
      </c>
      <c r="E74" s="36">
        <v>947.75</v>
      </c>
      <c r="F74" s="41">
        <v>0.25</v>
      </c>
      <c r="G74" s="348">
        <f t="shared" ref="G74:G79" si="0">E74/(1-F74)</f>
        <v>1263.6666666666667</v>
      </c>
      <c r="H74" s="348">
        <v>25</v>
      </c>
      <c r="I74" s="83">
        <v>0.15</v>
      </c>
      <c r="J74" s="79">
        <f t="shared" ref="J74:J79" si="1">H74*(1+I74)</f>
        <v>28.749999999999996</v>
      </c>
      <c r="K74" s="349">
        <f t="shared" ref="K74:K79" si="2">J74*D74</f>
        <v>0</v>
      </c>
      <c r="L74" s="350">
        <f t="shared" ref="L74:L79" si="3">G74+J74</f>
        <v>1292.4166666666667</v>
      </c>
      <c r="M74" s="351">
        <f t="shared" ref="M74:M79" si="4">D74*L74</f>
        <v>0</v>
      </c>
      <c r="N74" s="258"/>
      <c r="O74" s="258"/>
    </row>
    <row r="75" spans="1:15" ht="14.15" customHeight="1" x14ac:dyDescent="0.3">
      <c r="A75" s="341" t="s">
        <v>151</v>
      </c>
      <c r="B75" s="443" t="s">
        <v>152</v>
      </c>
      <c r="C75" s="27" t="s">
        <v>108</v>
      </c>
      <c r="D75" s="1">
        <v>0</v>
      </c>
      <c r="E75" s="36">
        <v>686.12</v>
      </c>
      <c r="F75" s="41">
        <v>0.25</v>
      </c>
      <c r="G75" s="348">
        <f t="shared" si="0"/>
        <v>914.82666666666671</v>
      </c>
      <c r="H75" s="348">
        <v>25</v>
      </c>
      <c r="I75" s="83">
        <v>0.15</v>
      </c>
      <c r="J75" s="79">
        <f t="shared" si="1"/>
        <v>28.749999999999996</v>
      </c>
      <c r="K75" s="349">
        <f t="shared" si="2"/>
        <v>0</v>
      </c>
      <c r="L75" s="350">
        <f t="shared" si="3"/>
        <v>943.57666666666671</v>
      </c>
      <c r="M75" s="351">
        <f t="shared" si="4"/>
        <v>0</v>
      </c>
      <c r="N75" s="258"/>
      <c r="O75" s="258"/>
    </row>
    <row r="76" spans="1:15" ht="14.15" customHeight="1" x14ac:dyDescent="0.3">
      <c r="A76" s="341" t="s">
        <v>153</v>
      </c>
      <c r="B76" s="443" t="s">
        <v>154</v>
      </c>
      <c r="C76" s="27" t="s">
        <v>108</v>
      </c>
      <c r="D76" s="1">
        <v>0</v>
      </c>
      <c r="E76" s="36">
        <v>538.9</v>
      </c>
      <c r="F76" s="41">
        <v>0.25</v>
      </c>
      <c r="G76" s="348">
        <f t="shared" si="0"/>
        <v>718.5333333333333</v>
      </c>
      <c r="H76" s="348">
        <v>25</v>
      </c>
      <c r="I76" s="83">
        <v>0.15</v>
      </c>
      <c r="J76" s="79">
        <f t="shared" si="1"/>
        <v>28.749999999999996</v>
      </c>
      <c r="K76" s="349">
        <f t="shared" si="2"/>
        <v>0</v>
      </c>
      <c r="L76" s="350">
        <f t="shared" si="3"/>
        <v>747.2833333333333</v>
      </c>
      <c r="M76" s="351">
        <f t="shared" si="4"/>
        <v>0</v>
      </c>
      <c r="N76" s="258"/>
      <c r="O76" s="258"/>
    </row>
    <row r="77" spans="1:15" ht="14.15" customHeight="1" x14ac:dyDescent="0.3">
      <c r="A77" s="341" t="s">
        <v>155</v>
      </c>
      <c r="B77" s="443" t="s">
        <v>156</v>
      </c>
      <c r="C77" s="29" t="s">
        <v>108</v>
      </c>
      <c r="D77" s="1">
        <v>0</v>
      </c>
      <c r="E77" s="36">
        <v>450</v>
      </c>
      <c r="F77" s="41">
        <v>0.25</v>
      </c>
      <c r="G77" s="348">
        <f t="shared" si="0"/>
        <v>600</v>
      </c>
      <c r="H77" s="348">
        <v>25</v>
      </c>
      <c r="I77" s="83">
        <v>0.15</v>
      </c>
      <c r="J77" s="79">
        <f t="shared" si="1"/>
        <v>28.749999999999996</v>
      </c>
      <c r="K77" s="349">
        <f t="shared" si="2"/>
        <v>0</v>
      </c>
      <c r="L77" s="350">
        <f t="shared" si="3"/>
        <v>628.75</v>
      </c>
      <c r="M77" s="351">
        <f t="shared" si="4"/>
        <v>0</v>
      </c>
      <c r="N77" s="258"/>
      <c r="O77" s="258"/>
    </row>
    <row r="78" spans="1:15" ht="14.15" customHeight="1" x14ac:dyDescent="0.3">
      <c r="A78" s="341" t="s">
        <v>157</v>
      </c>
      <c r="B78" s="443" t="s">
        <v>158</v>
      </c>
      <c r="C78" s="29" t="s">
        <v>108</v>
      </c>
      <c r="D78" s="1">
        <v>0</v>
      </c>
      <c r="E78" s="36">
        <v>380</v>
      </c>
      <c r="F78" s="41">
        <v>0.25</v>
      </c>
      <c r="G78" s="348">
        <f t="shared" si="0"/>
        <v>506.66666666666669</v>
      </c>
      <c r="H78" s="348">
        <v>25</v>
      </c>
      <c r="I78" s="83">
        <v>0.15</v>
      </c>
      <c r="J78" s="79">
        <f t="shared" si="1"/>
        <v>28.749999999999996</v>
      </c>
      <c r="K78" s="349">
        <f t="shared" si="2"/>
        <v>0</v>
      </c>
      <c r="L78" s="350">
        <f t="shared" si="3"/>
        <v>535.41666666666663</v>
      </c>
      <c r="M78" s="351">
        <f t="shared" si="4"/>
        <v>0</v>
      </c>
      <c r="N78" s="258"/>
      <c r="O78" s="258"/>
    </row>
    <row r="79" spans="1:15" ht="14.5" customHeight="1" thickBot="1" x14ac:dyDescent="0.35">
      <c r="A79" s="381" t="s">
        <v>159</v>
      </c>
      <c r="B79" s="446" t="s">
        <v>160</v>
      </c>
      <c r="C79" s="76" t="s">
        <v>108</v>
      </c>
      <c r="D79" s="50">
        <v>0</v>
      </c>
      <c r="E79" s="51">
        <f>215</f>
        <v>215</v>
      </c>
      <c r="F79" s="52">
        <v>0.25</v>
      </c>
      <c r="G79" s="376">
        <f t="shared" si="0"/>
        <v>286.66666666666669</v>
      </c>
      <c r="H79" s="376">
        <v>25</v>
      </c>
      <c r="I79" s="83">
        <v>0.15</v>
      </c>
      <c r="J79" s="79">
        <f t="shared" si="1"/>
        <v>28.749999999999996</v>
      </c>
      <c r="K79" s="349">
        <f t="shared" si="2"/>
        <v>0</v>
      </c>
      <c r="L79" s="350">
        <f t="shared" si="3"/>
        <v>315.41666666666669</v>
      </c>
      <c r="M79" s="378">
        <f t="shared" si="4"/>
        <v>0</v>
      </c>
      <c r="N79" s="258"/>
      <c r="O79" s="258"/>
    </row>
    <row r="80" spans="1:15" ht="14.5" customHeight="1" thickBot="1" x14ac:dyDescent="0.35">
      <c r="A80" s="397"/>
      <c r="B80" s="449"/>
      <c r="C80" s="71"/>
      <c r="D80" s="72"/>
      <c r="E80" s="73"/>
      <c r="F80" s="74"/>
      <c r="G80" s="356"/>
      <c r="H80" s="356"/>
      <c r="I80" s="73"/>
      <c r="J80" s="73"/>
      <c r="K80" s="357"/>
      <c r="L80" s="358"/>
      <c r="M80" s="358"/>
      <c r="N80" s="258"/>
      <c r="O80" s="258"/>
    </row>
    <row r="81" spans="1:15" ht="14.15" customHeight="1" x14ac:dyDescent="0.3">
      <c r="A81" s="359">
        <v>2.12</v>
      </c>
      <c r="B81" s="450"/>
      <c r="C81" s="75"/>
      <c r="D81" s="58" t="s">
        <v>161</v>
      </c>
      <c r="E81" s="56"/>
      <c r="F81" s="57"/>
      <c r="G81" s="361"/>
      <c r="H81" s="361"/>
      <c r="I81" s="56"/>
      <c r="J81" s="56"/>
      <c r="K81" s="362"/>
      <c r="L81" s="363"/>
      <c r="M81" s="363"/>
      <c r="N81" s="258"/>
      <c r="O81" s="258"/>
    </row>
    <row r="82" spans="1:15" ht="14.15" customHeight="1" x14ac:dyDescent="0.3">
      <c r="A82" s="341"/>
      <c r="B82" s="444"/>
      <c r="C82" s="29"/>
      <c r="D82" s="1"/>
      <c r="E82" s="36"/>
      <c r="F82" s="41"/>
      <c r="G82" s="348"/>
      <c r="H82" s="348"/>
      <c r="I82" s="79"/>
      <c r="J82" s="79"/>
      <c r="K82" s="349"/>
      <c r="L82" s="350"/>
      <c r="M82" s="351"/>
      <c r="N82" s="258"/>
      <c r="O82" s="258"/>
    </row>
    <row r="83" spans="1:15" ht="14.15" customHeight="1" x14ac:dyDescent="0.3">
      <c r="A83" s="341" t="s">
        <v>162</v>
      </c>
      <c r="B83" s="443" t="s">
        <v>163</v>
      </c>
      <c r="C83" s="29" t="s">
        <v>108</v>
      </c>
      <c r="D83" s="1">
        <v>0</v>
      </c>
      <c r="E83" s="36">
        <v>109.45</v>
      </c>
      <c r="F83" s="41">
        <v>0.2</v>
      </c>
      <c r="G83" s="348">
        <f>E83/(1-F83)</f>
        <v>136.8125</v>
      </c>
      <c r="H83" s="348">
        <v>50</v>
      </c>
      <c r="I83" s="83">
        <v>0.15</v>
      </c>
      <c r="J83" s="79">
        <f>H83*(1+I83)</f>
        <v>57.499999999999993</v>
      </c>
      <c r="K83" s="349">
        <f>J83*D83</f>
        <v>0</v>
      </c>
      <c r="L83" s="350">
        <f>G83+J83</f>
        <v>194.3125</v>
      </c>
      <c r="M83" s="351">
        <f>D83*L83</f>
        <v>0</v>
      </c>
      <c r="N83" s="258"/>
      <c r="O83" s="258"/>
    </row>
    <row r="84" spans="1:15" ht="14.15" customHeight="1" x14ac:dyDescent="0.3">
      <c r="A84" s="341"/>
      <c r="B84" s="443" t="s">
        <v>164</v>
      </c>
      <c r="C84" s="29" t="s">
        <v>108</v>
      </c>
      <c r="D84" s="1">
        <v>0</v>
      </c>
      <c r="E84" s="36">
        <v>70.599999999999994</v>
      </c>
      <c r="F84" s="41">
        <v>0.2</v>
      </c>
      <c r="G84" s="348">
        <f>E84/(1-F84)</f>
        <v>88.249999999999986</v>
      </c>
      <c r="H84" s="348">
        <v>50</v>
      </c>
      <c r="I84" s="83">
        <v>0.15</v>
      </c>
      <c r="J84" s="79">
        <f>H84*(1+I84)</f>
        <v>57.499999999999993</v>
      </c>
      <c r="K84" s="349">
        <f>J84*D84</f>
        <v>0</v>
      </c>
      <c r="L84" s="350">
        <f>G84+J84</f>
        <v>145.74999999999997</v>
      </c>
      <c r="M84" s="351">
        <f>D84*L84</f>
        <v>0</v>
      </c>
      <c r="N84" s="258"/>
      <c r="O84" s="258"/>
    </row>
    <row r="85" spans="1:15" ht="14.5" customHeight="1" thickBot="1" x14ac:dyDescent="0.35">
      <c r="A85" s="381"/>
      <c r="B85" s="446" t="s">
        <v>165</v>
      </c>
      <c r="C85" s="76" t="s">
        <v>108</v>
      </c>
      <c r="D85" s="50">
        <v>6</v>
      </c>
      <c r="E85" s="51">
        <v>22.91</v>
      </c>
      <c r="F85" s="52">
        <v>0.2</v>
      </c>
      <c r="G85" s="376">
        <f>E85/(1-F85)</f>
        <v>28.637499999999999</v>
      </c>
      <c r="H85" s="376">
        <v>50</v>
      </c>
      <c r="I85" s="83">
        <v>0.15</v>
      </c>
      <c r="J85" s="79">
        <f>H85*(1+I85)</f>
        <v>57.499999999999993</v>
      </c>
      <c r="K85" s="349">
        <f>J85*D85</f>
        <v>344.99999999999994</v>
      </c>
      <c r="L85" s="350">
        <f>G85+J85</f>
        <v>86.137499999999989</v>
      </c>
      <c r="M85" s="378">
        <f>D85*L85</f>
        <v>516.82499999999993</v>
      </c>
      <c r="N85" s="258"/>
      <c r="O85" s="258"/>
    </row>
    <row r="86" spans="1:15" ht="14.5" customHeight="1" thickBot="1" x14ac:dyDescent="0.35">
      <c r="A86" s="397"/>
      <c r="B86" s="449"/>
      <c r="C86" s="71"/>
      <c r="D86" s="72"/>
      <c r="E86" s="73"/>
      <c r="F86" s="74"/>
      <c r="G86" s="356"/>
      <c r="H86" s="356"/>
      <c r="I86" s="73"/>
      <c r="J86" s="73"/>
      <c r="K86" s="357"/>
      <c r="L86" s="358"/>
      <c r="M86" s="358"/>
      <c r="N86" s="258"/>
      <c r="O86" s="258"/>
    </row>
    <row r="87" spans="1:15" ht="14.15" customHeight="1" x14ac:dyDescent="0.3">
      <c r="A87" s="359">
        <v>2.13</v>
      </c>
      <c r="B87" s="450"/>
      <c r="C87" s="75"/>
      <c r="D87" s="58" t="s">
        <v>166</v>
      </c>
      <c r="E87" s="56"/>
      <c r="F87" s="57"/>
      <c r="G87" s="361"/>
      <c r="H87" s="361"/>
      <c r="I87" s="56"/>
      <c r="J87" s="56"/>
      <c r="K87" s="362"/>
      <c r="L87" s="363"/>
      <c r="M87" s="363"/>
      <c r="N87" s="258"/>
      <c r="O87" s="258"/>
    </row>
    <row r="88" spans="1:15" ht="14.15" customHeight="1" x14ac:dyDescent="0.3">
      <c r="A88" s="341"/>
      <c r="B88" s="444"/>
      <c r="C88" s="29"/>
      <c r="D88" s="1"/>
      <c r="E88" s="36"/>
      <c r="F88" s="41"/>
      <c r="G88" s="348"/>
      <c r="H88" s="348"/>
      <c r="I88" s="79"/>
      <c r="J88" s="79"/>
      <c r="K88" s="349"/>
      <c r="L88" s="350"/>
      <c r="M88" s="351"/>
      <c r="N88" s="258"/>
      <c r="O88" s="258"/>
    </row>
    <row r="89" spans="1:15" ht="14.15" customHeight="1" x14ac:dyDescent="0.3">
      <c r="A89" s="341" t="s">
        <v>167</v>
      </c>
      <c r="B89" s="443" t="s">
        <v>168</v>
      </c>
      <c r="C89" s="29" t="s">
        <v>108</v>
      </c>
      <c r="D89" s="1">
        <v>0</v>
      </c>
      <c r="E89" s="36">
        <v>25</v>
      </c>
      <c r="F89" s="41">
        <v>0.2</v>
      </c>
      <c r="G89" s="348">
        <f>E89/(1-F89)</f>
        <v>31.25</v>
      </c>
      <c r="H89" s="348"/>
      <c r="I89" s="83">
        <v>0.15</v>
      </c>
      <c r="J89" s="79">
        <f>H89*(1+I89)</f>
        <v>0</v>
      </c>
      <c r="K89" s="349">
        <f>J89*D89</f>
        <v>0</v>
      </c>
      <c r="L89" s="350">
        <f>G89+J89</f>
        <v>31.25</v>
      </c>
      <c r="M89" s="351">
        <f>D89*L89</f>
        <v>0</v>
      </c>
      <c r="N89" s="258"/>
      <c r="O89" s="258"/>
    </row>
    <row r="90" spans="1:15" ht="14.15" customHeight="1" x14ac:dyDescent="0.3">
      <c r="A90" s="341" t="s">
        <v>169</v>
      </c>
      <c r="B90" s="443" t="s">
        <v>170</v>
      </c>
      <c r="C90" s="29" t="s">
        <v>108</v>
      </c>
      <c r="D90" s="1">
        <v>0</v>
      </c>
      <c r="E90" s="36">
        <v>33</v>
      </c>
      <c r="F90" s="41">
        <v>0.2</v>
      </c>
      <c r="G90" s="348">
        <f>E90/(1-F90)</f>
        <v>41.25</v>
      </c>
      <c r="H90" s="348"/>
      <c r="I90" s="83">
        <v>0.15</v>
      </c>
      <c r="J90" s="79">
        <f>H90*(1+I90)</f>
        <v>0</v>
      </c>
      <c r="K90" s="349">
        <f>J90*D90</f>
        <v>0</v>
      </c>
      <c r="L90" s="350">
        <f>G90+J90</f>
        <v>41.25</v>
      </c>
      <c r="M90" s="351">
        <f>D90*L90</f>
        <v>0</v>
      </c>
      <c r="N90" s="258"/>
      <c r="O90" s="258"/>
    </row>
    <row r="91" spans="1:15" ht="14.15" customHeight="1" x14ac:dyDescent="0.3">
      <c r="A91" s="341" t="s">
        <v>171</v>
      </c>
      <c r="B91" s="451" t="s">
        <v>172</v>
      </c>
      <c r="C91" s="29" t="s">
        <v>108</v>
      </c>
      <c r="D91" s="1">
        <v>0</v>
      </c>
      <c r="E91" s="36">
        <v>37</v>
      </c>
      <c r="F91" s="41">
        <v>0.2</v>
      </c>
      <c r="G91" s="348">
        <f>E91/(1-F91)</f>
        <v>46.25</v>
      </c>
      <c r="H91" s="348"/>
      <c r="I91" s="83">
        <v>0.15</v>
      </c>
      <c r="J91" s="79">
        <f>H91*(1+I91)</f>
        <v>0</v>
      </c>
      <c r="K91" s="349">
        <f>J91*D91</f>
        <v>0</v>
      </c>
      <c r="L91" s="350">
        <f>G91+J91</f>
        <v>46.25</v>
      </c>
      <c r="M91" s="351">
        <f>D91*L91</f>
        <v>0</v>
      </c>
      <c r="N91" s="258"/>
      <c r="O91" s="258"/>
    </row>
    <row r="92" spans="1:15" ht="14.5" customHeight="1" thickBot="1" x14ac:dyDescent="0.35">
      <c r="A92" s="341" t="s">
        <v>240</v>
      </c>
      <c r="B92" s="451" t="s">
        <v>241</v>
      </c>
      <c r="C92" s="29" t="s">
        <v>108</v>
      </c>
      <c r="D92" s="1">
        <v>10</v>
      </c>
      <c r="E92" s="36">
        <v>81.25</v>
      </c>
      <c r="F92" s="41">
        <v>0.2</v>
      </c>
      <c r="G92" s="348">
        <f>E92/(1-F92)</f>
        <v>101.5625</v>
      </c>
      <c r="H92" s="348"/>
      <c r="I92" s="83">
        <v>0.15</v>
      </c>
      <c r="J92" s="79">
        <f>H92*(1+I92)</f>
        <v>0</v>
      </c>
      <c r="K92" s="349">
        <f>J92*D92</f>
        <v>0</v>
      </c>
      <c r="L92" s="350">
        <f>G92+J92</f>
        <v>101.5625</v>
      </c>
      <c r="M92" s="351">
        <f>D92*L92</f>
        <v>1015.625</v>
      </c>
      <c r="N92" s="258"/>
      <c r="O92" s="258"/>
    </row>
    <row r="93" spans="1:15" ht="14.5" customHeight="1" thickBot="1" x14ac:dyDescent="0.35">
      <c r="A93" s="397"/>
      <c r="B93" s="449"/>
      <c r="C93" s="71"/>
      <c r="D93" s="72"/>
      <c r="E93" s="73"/>
      <c r="F93" s="74"/>
      <c r="G93" s="356"/>
      <c r="H93" s="356"/>
      <c r="I93" s="73"/>
      <c r="J93" s="73"/>
      <c r="K93" s="357"/>
      <c r="L93" s="358"/>
      <c r="M93" s="358"/>
      <c r="N93" s="258"/>
      <c r="O93" s="258"/>
    </row>
    <row r="94" spans="1:15" s="297" customFormat="1" ht="14.15" customHeight="1" x14ac:dyDescent="0.3">
      <c r="A94" s="402">
        <v>2.14</v>
      </c>
      <c r="B94" s="452"/>
      <c r="C94" s="78"/>
      <c r="D94" s="65" t="s">
        <v>173</v>
      </c>
      <c r="E94" s="53"/>
      <c r="F94" s="54"/>
      <c r="G94" s="391"/>
      <c r="H94" s="391"/>
      <c r="I94" s="53"/>
      <c r="J94" s="53"/>
      <c r="K94" s="392"/>
      <c r="L94" s="393"/>
      <c r="M94" s="393"/>
      <c r="N94" s="258"/>
      <c r="O94" s="258"/>
    </row>
    <row r="95" spans="1:15" s="297" customFormat="1" ht="14.15" customHeight="1" x14ac:dyDescent="0.3">
      <c r="A95" s="341"/>
      <c r="B95" s="444"/>
      <c r="C95" s="29"/>
      <c r="D95" s="1"/>
      <c r="E95" s="36"/>
      <c r="F95" s="41"/>
      <c r="G95" s="348"/>
      <c r="H95" s="348"/>
      <c r="I95" s="79"/>
      <c r="J95" s="79"/>
      <c r="K95" s="349"/>
      <c r="L95" s="350"/>
      <c r="M95" s="351"/>
      <c r="N95" s="258"/>
      <c r="O95" s="258"/>
    </row>
    <row r="96" spans="1:15" s="297" customFormat="1" ht="28" customHeight="1" x14ac:dyDescent="0.3">
      <c r="A96" s="341"/>
      <c r="B96" s="443" t="s">
        <v>174</v>
      </c>
      <c r="C96" s="29"/>
      <c r="D96" s="1"/>
      <c r="E96" s="36"/>
      <c r="F96" s="41"/>
      <c r="G96" s="348"/>
      <c r="H96" s="348"/>
      <c r="I96" s="79"/>
      <c r="J96" s="79"/>
      <c r="K96" s="349"/>
      <c r="L96" s="350"/>
      <c r="M96" s="351"/>
      <c r="N96" s="258"/>
      <c r="O96" s="258"/>
    </row>
    <row r="97" spans="1:15" s="297" customFormat="1" ht="14.15" customHeight="1" x14ac:dyDescent="0.3">
      <c r="A97" s="384"/>
      <c r="B97" s="443"/>
      <c r="C97" s="29"/>
      <c r="D97" s="1"/>
      <c r="E97" s="36"/>
      <c r="F97" s="41"/>
      <c r="G97" s="348"/>
      <c r="H97" s="348"/>
      <c r="I97" s="79"/>
      <c r="J97" s="79"/>
      <c r="K97" s="349"/>
      <c r="L97" s="350"/>
      <c r="M97" s="351"/>
      <c r="N97" s="258"/>
      <c r="O97" s="258"/>
    </row>
    <row r="98" spans="1:15" s="297" customFormat="1" ht="14.15" customHeight="1" x14ac:dyDescent="0.3">
      <c r="A98" s="341" t="s">
        <v>175</v>
      </c>
      <c r="B98" s="443" t="s">
        <v>150</v>
      </c>
      <c r="C98" s="29" t="s">
        <v>85</v>
      </c>
      <c r="D98" s="1">
        <v>0</v>
      </c>
      <c r="E98" s="36">
        <f>752.54*1.1</f>
        <v>827.79399999999998</v>
      </c>
      <c r="F98" s="41">
        <v>0.2</v>
      </c>
      <c r="G98" s="348">
        <f t="shared" ref="G98:G109" si="5">E98/(1-F98)</f>
        <v>1034.7424999999998</v>
      </c>
      <c r="H98" s="348">
        <f>(250+100)*1.5</f>
        <v>525</v>
      </c>
      <c r="I98" s="83">
        <v>0.15</v>
      </c>
      <c r="J98" s="79">
        <f t="shared" ref="J98:J109" si="6">H98*(1+I98)</f>
        <v>603.75</v>
      </c>
      <c r="K98" s="349">
        <f t="shared" ref="K98:K109" si="7">J98*D98</f>
        <v>0</v>
      </c>
      <c r="L98" s="350">
        <f t="shared" ref="L98:L109" si="8">G98+J98</f>
        <v>1638.4924999999998</v>
      </c>
      <c r="M98" s="351">
        <f t="shared" ref="M98:M109" si="9">D98*L98</f>
        <v>0</v>
      </c>
      <c r="N98" s="258"/>
      <c r="O98" s="258"/>
    </row>
    <row r="99" spans="1:15" s="297" customFormat="1" ht="14.15" customHeight="1" x14ac:dyDescent="0.3">
      <c r="A99" s="341" t="s">
        <v>176</v>
      </c>
      <c r="B99" s="443" t="s">
        <v>177</v>
      </c>
      <c r="C99" s="29" t="s">
        <v>85</v>
      </c>
      <c r="D99" s="1">
        <v>0</v>
      </c>
      <c r="E99" s="36">
        <f>350*1.1</f>
        <v>385.00000000000006</v>
      </c>
      <c r="F99" s="41">
        <v>0.2</v>
      </c>
      <c r="G99" s="348">
        <f t="shared" si="5"/>
        <v>481.25000000000006</v>
      </c>
      <c r="H99" s="348">
        <f>(250+100)*1.5</f>
        <v>525</v>
      </c>
      <c r="I99" s="83">
        <v>0.15</v>
      </c>
      <c r="J99" s="79">
        <f t="shared" si="6"/>
        <v>603.75</v>
      </c>
      <c r="K99" s="349">
        <f t="shared" si="7"/>
        <v>0</v>
      </c>
      <c r="L99" s="350">
        <f t="shared" si="8"/>
        <v>1085</v>
      </c>
      <c r="M99" s="351">
        <f t="shared" si="9"/>
        <v>0</v>
      </c>
      <c r="N99" s="258"/>
      <c r="O99" s="258"/>
    </row>
    <row r="100" spans="1:15" s="297" customFormat="1" ht="14.15" customHeight="1" x14ac:dyDescent="0.3">
      <c r="A100" s="341" t="s">
        <v>178</v>
      </c>
      <c r="B100" s="443" t="s">
        <v>152</v>
      </c>
      <c r="C100" s="29" t="s">
        <v>85</v>
      </c>
      <c r="D100" s="1">
        <v>0</v>
      </c>
      <c r="E100" s="36">
        <v>550</v>
      </c>
      <c r="F100" s="41">
        <v>0.2</v>
      </c>
      <c r="G100" s="348">
        <f t="shared" si="5"/>
        <v>687.5</v>
      </c>
      <c r="H100" s="348">
        <f>(250+100)*1.5</f>
        <v>525</v>
      </c>
      <c r="I100" s="83">
        <v>0.15</v>
      </c>
      <c r="J100" s="79">
        <f t="shared" si="6"/>
        <v>603.75</v>
      </c>
      <c r="K100" s="349">
        <f t="shared" si="7"/>
        <v>0</v>
      </c>
      <c r="L100" s="350">
        <f t="shared" si="8"/>
        <v>1291.25</v>
      </c>
      <c r="M100" s="351">
        <f t="shared" si="9"/>
        <v>0</v>
      </c>
      <c r="N100" s="258"/>
      <c r="O100" s="258"/>
    </row>
    <row r="101" spans="1:15" s="297" customFormat="1" ht="14.15" customHeight="1" x14ac:dyDescent="0.3">
      <c r="A101" s="341" t="s">
        <v>179</v>
      </c>
      <c r="B101" s="443" t="s">
        <v>154</v>
      </c>
      <c r="C101" s="29" t="s">
        <v>85</v>
      </c>
      <c r="D101" s="1">
        <v>0</v>
      </c>
      <c r="E101" s="36">
        <v>350</v>
      </c>
      <c r="F101" s="41">
        <v>0.2</v>
      </c>
      <c r="G101" s="348">
        <f t="shared" si="5"/>
        <v>437.5</v>
      </c>
      <c r="H101" s="348">
        <v>525</v>
      </c>
      <c r="I101" s="83">
        <v>0.15</v>
      </c>
      <c r="J101" s="79">
        <f t="shared" si="6"/>
        <v>603.75</v>
      </c>
      <c r="K101" s="349">
        <f t="shared" si="7"/>
        <v>0</v>
      </c>
      <c r="L101" s="350">
        <f t="shared" si="8"/>
        <v>1041.25</v>
      </c>
      <c r="M101" s="351">
        <f t="shared" si="9"/>
        <v>0</v>
      </c>
      <c r="N101" s="258"/>
      <c r="O101" s="258"/>
    </row>
    <row r="102" spans="1:15" s="297" customFormat="1" ht="14.5" customHeight="1" x14ac:dyDescent="0.3">
      <c r="A102" s="341" t="s">
        <v>180</v>
      </c>
      <c r="B102" s="443" t="s">
        <v>156</v>
      </c>
      <c r="C102" s="29" t="s">
        <v>85</v>
      </c>
      <c r="D102" s="1">
        <v>0</v>
      </c>
      <c r="E102" s="36"/>
      <c r="F102" s="41"/>
      <c r="G102" s="348">
        <f t="shared" si="5"/>
        <v>0</v>
      </c>
      <c r="H102" s="348">
        <v>525</v>
      </c>
      <c r="I102" s="83">
        <v>0.15</v>
      </c>
      <c r="J102" s="79">
        <f t="shared" si="6"/>
        <v>603.75</v>
      </c>
      <c r="K102" s="349">
        <f t="shared" si="7"/>
        <v>0</v>
      </c>
      <c r="L102" s="350">
        <f t="shared" si="8"/>
        <v>603.75</v>
      </c>
      <c r="M102" s="351">
        <f t="shared" si="9"/>
        <v>0</v>
      </c>
      <c r="N102" s="258"/>
      <c r="O102" s="258"/>
    </row>
    <row r="103" spans="1:15" s="297" customFormat="1" ht="14.15" customHeight="1" x14ac:dyDescent="0.3">
      <c r="A103" s="341" t="s">
        <v>181</v>
      </c>
      <c r="B103" s="443" t="s">
        <v>158</v>
      </c>
      <c r="C103" s="29" t="s">
        <v>85</v>
      </c>
      <c r="D103" s="1">
        <v>0</v>
      </c>
      <c r="E103" s="36">
        <v>350</v>
      </c>
      <c r="F103" s="41">
        <v>0.2</v>
      </c>
      <c r="G103" s="348">
        <f t="shared" si="5"/>
        <v>437.5</v>
      </c>
      <c r="H103" s="348">
        <v>525</v>
      </c>
      <c r="I103" s="83">
        <v>0.15</v>
      </c>
      <c r="J103" s="79">
        <f t="shared" si="6"/>
        <v>603.75</v>
      </c>
      <c r="K103" s="349">
        <f t="shared" si="7"/>
        <v>0</v>
      </c>
      <c r="L103" s="350">
        <f t="shared" si="8"/>
        <v>1041.25</v>
      </c>
      <c r="M103" s="351">
        <f t="shared" si="9"/>
        <v>0</v>
      </c>
      <c r="N103" s="258"/>
      <c r="O103" s="258"/>
    </row>
    <row r="104" spans="1:15" s="297" customFormat="1" ht="14.15" customHeight="1" x14ac:dyDescent="0.3">
      <c r="A104" s="341" t="s">
        <v>182</v>
      </c>
      <c r="B104" s="443" t="s">
        <v>160</v>
      </c>
      <c r="C104" s="29" t="s">
        <v>85</v>
      </c>
      <c r="D104" s="1">
        <v>0</v>
      </c>
      <c r="E104" s="36">
        <v>350</v>
      </c>
      <c r="F104" s="41">
        <v>0.2</v>
      </c>
      <c r="G104" s="348">
        <f t="shared" si="5"/>
        <v>437.5</v>
      </c>
      <c r="H104" s="348">
        <v>525</v>
      </c>
      <c r="I104" s="83">
        <v>0.15</v>
      </c>
      <c r="J104" s="79">
        <f t="shared" si="6"/>
        <v>603.75</v>
      </c>
      <c r="K104" s="349">
        <f t="shared" si="7"/>
        <v>0</v>
      </c>
      <c r="L104" s="350">
        <f t="shared" si="8"/>
        <v>1041.25</v>
      </c>
      <c r="M104" s="351">
        <f t="shared" si="9"/>
        <v>0</v>
      </c>
      <c r="N104" s="258"/>
      <c r="O104" s="258"/>
    </row>
    <row r="105" spans="1:15" s="297" customFormat="1" ht="14.15" customHeight="1" x14ac:dyDescent="0.3">
      <c r="A105" s="341" t="s">
        <v>183</v>
      </c>
      <c r="B105" s="443" t="s">
        <v>184</v>
      </c>
      <c r="C105" s="29" t="s">
        <v>85</v>
      </c>
      <c r="D105" s="1">
        <v>0</v>
      </c>
      <c r="E105" s="36"/>
      <c r="F105" s="41">
        <v>0.2</v>
      </c>
      <c r="G105" s="348">
        <f t="shared" si="5"/>
        <v>0</v>
      </c>
      <c r="H105" s="348">
        <v>525</v>
      </c>
      <c r="I105" s="83">
        <v>0.15</v>
      </c>
      <c r="J105" s="79">
        <f t="shared" si="6"/>
        <v>603.75</v>
      </c>
      <c r="K105" s="349">
        <f t="shared" si="7"/>
        <v>0</v>
      </c>
      <c r="L105" s="350">
        <f t="shared" si="8"/>
        <v>603.75</v>
      </c>
      <c r="M105" s="351">
        <f t="shared" si="9"/>
        <v>0</v>
      </c>
      <c r="N105" s="258"/>
      <c r="O105" s="258"/>
    </row>
    <row r="106" spans="1:15" s="297" customFormat="1" ht="14.15" customHeight="1" x14ac:dyDescent="0.3">
      <c r="A106" s="341" t="s">
        <v>185</v>
      </c>
      <c r="B106" s="443" t="s">
        <v>186</v>
      </c>
      <c r="C106" s="29" t="s">
        <v>85</v>
      </c>
      <c r="D106" s="1">
        <v>0</v>
      </c>
      <c r="E106" s="36">
        <v>250</v>
      </c>
      <c r="F106" s="41">
        <v>0.2</v>
      </c>
      <c r="G106" s="348">
        <f t="shared" si="5"/>
        <v>312.5</v>
      </c>
      <c r="H106" s="348">
        <v>525</v>
      </c>
      <c r="I106" s="83">
        <v>0.15</v>
      </c>
      <c r="J106" s="79">
        <f t="shared" si="6"/>
        <v>603.75</v>
      </c>
      <c r="K106" s="349">
        <f t="shared" si="7"/>
        <v>0</v>
      </c>
      <c r="L106" s="350">
        <f t="shared" si="8"/>
        <v>916.25</v>
      </c>
      <c r="M106" s="351">
        <f t="shared" si="9"/>
        <v>0</v>
      </c>
      <c r="N106" s="258"/>
      <c r="O106" s="258"/>
    </row>
    <row r="107" spans="1:15" s="297" customFormat="1" ht="14.15" customHeight="1" x14ac:dyDescent="0.3">
      <c r="A107" s="341" t="s">
        <v>187</v>
      </c>
      <c r="B107" s="443" t="s">
        <v>188</v>
      </c>
      <c r="C107" s="29" t="s">
        <v>85</v>
      </c>
      <c r="D107" s="1">
        <v>0</v>
      </c>
      <c r="E107" s="36">
        <v>500</v>
      </c>
      <c r="F107" s="41">
        <v>0.2</v>
      </c>
      <c r="G107" s="348">
        <f t="shared" si="5"/>
        <v>625</v>
      </c>
      <c r="H107" s="348">
        <v>525</v>
      </c>
      <c r="I107" s="83">
        <v>0.15</v>
      </c>
      <c r="J107" s="79">
        <f t="shared" si="6"/>
        <v>603.75</v>
      </c>
      <c r="K107" s="349">
        <f t="shared" si="7"/>
        <v>0</v>
      </c>
      <c r="L107" s="350">
        <f t="shared" si="8"/>
        <v>1228.75</v>
      </c>
      <c r="M107" s="351">
        <f t="shared" si="9"/>
        <v>0</v>
      </c>
      <c r="N107" s="258"/>
      <c r="O107" s="258"/>
    </row>
    <row r="108" spans="1:15" s="297" customFormat="1" ht="14.15" customHeight="1" x14ac:dyDescent="0.3">
      <c r="A108" s="341" t="s">
        <v>189</v>
      </c>
      <c r="B108" s="451" t="s">
        <v>190</v>
      </c>
      <c r="C108" s="29" t="s">
        <v>85</v>
      </c>
      <c r="D108" s="1">
        <v>0</v>
      </c>
      <c r="E108" s="36">
        <v>500</v>
      </c>
      <c r="F108" s="41">
        <v>0.2</v>
      </c>
      <c r="G108" s="348">
        <f t="shared" si="5"/>
        <v>625</v>
      </c>
      <c r="H108" s="348">
        <v>525</v>
      </c>
      <c r="I108" s="83">
        <v>0.15</v>
      </c>
      <c r="J108" s="79">
        <f t="shared" si="6"/>
        <v>603.75</v>
      </c>
      <c r="K108" s="349">
        <f t="shared" si="7"/>
        <v>0</v>
      </c>
      <c r="L108" s="350">
        <f t="shared" si="8"/>
        <v>1228.75</v>
      </c>
      <c r="M108" s="351">
        <f t="shared" si="9"/>
        <v>0</v>
      </c>
      <c r="N108" s="258"/>
      <c r="O108" s="258"/>
    </row>
    <row r="109" spans="1:15" s="297" customFormat="1" ht="14.5" customHeight="1" thickBot="1" x14ac:dyDescent="0.35">
      <c r="A109" s="381" t="s">
        <v>189</v>
      </c>
      <c r="B109" s="446" t="s">
        <v>242</v>
      </c>
      <c r="C109" s="76" t="s">
        <v>85</v>
      </c>
      <c r="D109" s="50">
        <v>6</v>
      </c>
      <c r="E109" s="51">
        <v>200</v>
      </c>
      <c r="F109" s="52">
        <v>0.2</v>
      </c>
      <c r="G109" s="376">
        <f t="shared" si="5"/>
        <v>250</v>
      </c>
      <c r="H109" s="376">
        <v>525</v>
      </c>
      <c r="I109" s="84">
        <v>0.15</v>
      </c>
      <c r="J109" s="80">
        <f t="shared" si="6"/>
        <v>603.75</v>
      </c>
      <c r="K109" s="382">
        <f t="shared" si="7"/>
        <v>3622.5</v>
      </c>
      <c r="L109" s="412">
        <f t="shared" si="8"/>
        <v>853.75</v>
      </c>
      <c r="M109" s="378">
        <f t="shared" si="9"/>
        <v>5122.5</v>
      </c>
      <c r="N109" s="258"/>
      <c r="O109" s="258"/>
    </row>
    <row r="110" spans="1:15" s="297" customFormat="1" ht="14.5" customHeight="1" thickBot="1" x14ac:dyDescent="0.35">
      <c r="A110" s="404"/>
      <c r="B110" s="453"/>
      <c r="C110" s="29"/>
      <c r="D110" s="1"/>
      <c r="E110" s="36"/>
      <c r="F110" s="41"/>
      <c r="G110" s="348"/>
      <c r="H110" s="348"/>
      <c r="I110" s="79"/>
      <c r="J110" s="79"/>
      <c r="K110" s="406"/>
      <c r="L110" s="350"/>
      <c r="M110" s="351"/>
      <c r="N110" s="258"/>
      <c r="O110" s="258"/>
    </row>
    <row r="111" spans="1:15" ht="14.15" customHeight="1" x14ac:dyDescent="0.3">
      <c r="A111" s="359">
        <v>2.15</v>
      </c>
      <c r="B111" s="450"/>
      <c r="C111" s="75"/>
      <c r="D111" s="58" t="s">
        <v>191</v>
      </c>
      <c r="E111" s="56"/>
      <c r="F111" s="57"/>
      <c r="G111" s="361"/>
      <c r="H111" s="361"/>
      <c r="I111" s="56"/>
      <c r="J111" s="56"/>
      <c r="K111" s="362"/>
      <c r="L111" s="363"/>
      <c r="M111" s="363"/>
      <c r="N111" s="258"/>
      <c r="O111" s="258"/>
    </row>
    <row r="112" spans="1:15" ht="14.15" customHeight="1" x14ac:dyDescent="0.3">
      <c r="A112" s="341"/>
      <c r="B112" s="444"/>
      <c r="C112" s="29"/>
      <c r="D112" s="1"/>
      <c r="E112" s="36"/>
      <c r="F112" s="41"/>
      <c r="G112" s="348"/>
      <c r="H112" s="348"/>
      <c r="I112" s="79"/>
      <c r="J112" s="79"/>
      <c r="K112" s="349"/>
      <c r="L112" s="350"/>
      <c r="M112" s="351"/>
      <c r="N112" s="258"/>
      <c r="O112" s="258"/>
    </row>
    <row r="113" spans="1:15" ht="28" customHeight="1" x14ac:dyDescent="0.3">
      <c r="A113" s="341"/>
      <c r="B113" s="443" t="s">
        <v>192</v>
      </c>
      <c r="C113" s="29"/>
      <c r="D113" s="1"/>
      <c r="E113" s="36"/>
      <c r="F113" s="41"/>
      <c r="G113" s="348"/>
      <c r="H113" s="348"/>
      <c r="I113" s="79"/>
      <c r="J113" s="79"/>
      <c r="K113" s="349"/>
      <c r="L113" s="350"/>
      <c r="M113" s="351"/>
      <c r="N113" s="258"/>
      <c r="O113" s="258"/>
    </row>
    <row r="114" spans="1:15" ht="14.15" customHeight="1" x14ac:dyDescent="0.3">
      <c r="A114" s="384"/>
      <c r="B114" s="443"/>
      <c r="C114" s="29"/>
      <c r="D114" s="1"/>
      <c r="E114" s="36"/>
      <c r="F114" s="41"/>
      <c r="G114" s="348"/>
      <c r="H114" s="348"/>
      <c r="I114" s="79"/>
      <c r="J114" s="79"/>
      <c r="K114" s="349"/>
      <c r="L114" s="350"/>
      <c r="M114" s="351"/>
      <c r="N114" s="258"/>
      <c r="O114" s="258"/>
    </row>
    <row r="115" spans="1:15" ht="14.15" customHeight="1" x14ac:dyDescent="0.3">
      <c r="A115" s="341" t="s">
        <v>193</v>
      </c>
      <c r="B115" s="443" t="s">
        <v>194</v>
      </c>
      <c r="C115" s="29" t="s">
        <v>108</v>
      </c>
      <c r="D115" s="1">
        <v>0</v>
      </c>
      <c r="E115" s="36">
        <f>132*(15+10+10)</f>
        <v>4620</v>
      </c>
      <c r="F115" s="41">
        <v>0.2</v>
      </c>
      <c r="G115" s="348">
        <f>E115/(1-F115)</f>
        <v>5775</v>
      </c>
      <c r="H115" s="348">
        <f>9*(15+10+10)</f>
        <v>315</v>
      </c>
      <c r="I115" s="83">
        <v>0.15</v>
      </c>
      <c r="J115" s="79">
        <f>H115*(1+I115)</f>
        <v>362.25</v>
      </c>
      <c r="K115" s="349">
        <f>J115*D115</f>
        <v>0</v>
      </c>
      <c r="L115" s="350">
        <f>G115+J115</f>
        <v>6137.25</v>
      </c>
      <c r="M115" s="351">
        <f>D115*L115</f>
        <v>0</v>
      </c>
      <c r="N115" s="258"/>
      <c r="O115" s="258"/>
    </row>
    <row r="116" spans="1:15" ht="14.5" customHeight="1" thickBot="1" x14ac:dyDescent="0.35">
      <c r="A116" s="381" t="s">
        <v>195</v>
      </c>
      <c r="B116" s="446" t="s">
        <v>196</v>
      </c>
      <c r="C116" s="76" t="s">
        <v>108</v>
      </c>
      <c r="D116" s="50">
        <f>15+N("Just for the inverter battery system")</f>
        <v>15</v>
      </c>
      <c r="E116" s="51">
        <f>30</f>
        <v>30</v>
      </c>
      <c r="F116" s="52">
        <v>0.2</v>
      </c>
      <c r="G116" s="376">
        <f>E116/(1-F116)</f>
        <v>37.5</v>
      </c>
      <c r="H116" s="376">
        <f>15</f>
        <v>15</v>
      </c>
      <c r="I116" s="84">
        <v>0.15</v>
      </c>
      <c r="J116" s="80">
        <f>H116*(1+I116)</f>
        <v>17.25</v>
      </c>
      <c r="K116" s="382">
        <f>J116*D116</f>
        <v>258.75</v>
      </c>
      <c r="L116" s="407">
        <f>G116+J116</f>
        <v>54.75</v>
      </c>
      <c r="M116" s="378">
        <f>D116*L116</f>
        <v>821.25</v>
      </c>
      <c r="N116" s="258"/>
      <c r="O116" s="258"/>
    </row>
    <row r="117" spans="1:15" ht="14.5" customHeight="1" thickBot="1" x14ac:dyDescent="0.35">
      <c r="A117" s="258"/>
      <c r="B117" s="453"/>
      <c r="C117" s="29"/>
      <c r="D117" s="1"/>
      <c r="E117" s="36"/>
      <c r="F117" s="41"/>
      <c r="G117" s="348"/>
      <c r="H117" s="348"/>
      <c r="I117" s="79"/>
      <c r="J117" s="79"/>
      <c r="K117" s="406"/>
      <c r="L117" s="350"/>
      <c r="M117" s="351"/>
      <c r="N117" s="258"/>
      <c r="O117" s="258"/>
    </row>
    <row r="118" spans="1:15" ht="14.15" customHeight="1" x14ac:dyDescent="0.3">
      <c r="A118" s="359">
        <v>2.16</v>
      </c>
      <c r="B118" s="450"/>
      <c r="C118" s="75"/>
      <c r="D118" s="58" t="s">
        <v>197</v>
      </c>
      <c r="E118" s="56"/>
      <c r="F118" s="57"/>
      <c r="G118" s="361"/>
      <c r="H118" s="361"/>
      <c r="I118" s="56"/>
      <c r="J118" s="56"/>
      <c r="K118" s="362"/>
      <c r="L118" s="363"/>
      <c r="M118" s="363"/>
      <c r="N118" s="258"/>
      <c r="O118" s="258"/>
    </row>
    <row r="119" spans="1:15" ht="14.15" customHeight="1" x14ac:dyDescent="0.3">
      <c r="A119" s="341"/>
      <c r="B119" s="444"/>
      <c r="C119" s="29"/>
      <c r="D119" s="1"/>
      <c r="E119" s="36"/>
      <c r="F119" s="41"/>
      <c r="G119" s="348"/>
      <c r="H119" s="348"/>
      <c r="I119" s="79"/>
      <c r="J119" s="79"/>
      <c r="K119" s="349"/>
      <c r="L119" s="350"/>
      <c r="M119" s="351"/>
      <c r="N119" s="258"/>
      <c r="O119" s="258"/>
    </row>
    <row r="120" spans="1:15" ht="28.5" customHeight="1" thickBot="1" x14ac:dyDescent="0.35">
      <c r="A120" s="381" t="s">
        <v>198</v>
      </c>
      <c r="B120" s="446" t="s">
        <v>199</v>
      </c>
      <c r="C120" s="86" t="s">
        <v>108</v>
      </c>
      <c r="D120" s="50">
        <v>10</v>
      </c>
      <c r="E120" s="51">
        <v>5</v>
      </c>
      <c r="F120" s="52">
        <v>0.2</v>
      </c>
      <c r="G120" s="376">
        <f>E120/(1-F120)</f>
        <v>6.25</v>
      </c>
      <c r="H120" s="376">
        <f>(100*3)</f>
        <v>300</v>
      </c>
      <c r="I120" s="84">
        <v>0.15</v>
      </c>
      <c r="J120" s="80">
        <f>H120*(1+I120)</f>
        <v>345</v>
      </c>
      <c r="K120" s="382">
        <f>J120*D120</f>
        <v>3450</v>
      </c>
      <c r="L120" s="407">
        <f>G120+J120</f>
        <v>351.25</v>
      </c>
      <c r="M120" s="378">
        <f>D120*L120</f>
        <v>3512.5</v>
      </c>
      <c r="N120" s="258"/>
      <c r="O120" s="258"/>
    </row>
    <row r="121" spans="1:15" ht="13.4" customHeight="1" thickBot="1" x14ac:dyDescent="0.35">
      <c r="A121" s="404"/>
      <c r="B121" s="453"/>
      <c r="C121" s="29"/>
      <c r="D121" s="1"/>
      <c r="E121" s="36"/>
      <c r="F121" s="41"/>
      <c r="G121" s="348"/>
      <c r="H121" s="348"/>
      <c r="I121" s="79"/>
      <c r="J121" s="79"/>
      <c r="K121" s="406"/>
      <c r="L121" s="350"/>
      <c r="M121" s="351"/>
      <c r="N121" s="258"/>
      <c r="O121" s="258"/>
    </row>
    <row r="122" spans="1:15" ht="14.15" customHeight="1" x14ac:dyDescent="0.3">
      <c r="A122" s="359">
        <v>2.17</v>
      </c>
      <c r="B122" s="450"/>
      <c r="C122" s="75"/>
      <c r="D122" s="58" t="s">
        <v>200</v>
      </c>
      <c r="E122" s="56"/>
      <c r="F122" s="57"/>
      <c r="G122" s="361"/>
      <c r="H122" s="361"/>
      <c r="I122" s="56"/>
      <c r="J122" s="56"/>
      <c r="K122" s="362"/>
      <c r="L122" s="363"/>
      <c r="M122" s="363"/>
      <c r="N122" s="258"/>
      <c r="O122" s="258"/>
    </row>
    <row r="123" spans="1:15" ht="14.15" customHeight="1" x14ac:dyDescent="0.3">
      <c r="A123" s="341"/>
      <c r="B123" s="454"/>
      <c r="C123" s="29"/>
      <c r="D123" s="1"/>
      <c r="E123" s="36"/>
      <c r="F123" s="41"/>
      <c r="G123" s="348"/>
      <c r="H123" s="348"/>
      <c r="I123" s="79"/>
      <c r="J123" s="79"/>
      <c r="K123" s="349"/>
      <c r="L123" s="350"/>
      <c r="M123" s="351"/>
      <c r="N123" s="258"/>
      <c r="O123" s="258"/>
    </row>
    <row r="124" spans="1:15" ht="14.15" customHeight="1" x14ac:dyDescent="0.3">
      <c r="A124" s="341"/>
      <c r="B124" s="443" t="s">
        <v>201</v>
      </c>
      <c r="C124" s="29"/>
      <c r="D124" s="1"/>
      <c r="E124" s="36"/>
      <c r="F124" s="41"/>
      <c r="G124" s="348"/>
      <c r="H124" s="348"/>
      <c r="I124" s="79"/>
      <c r="J124" s="79"/>
      <c r="K124" s="349"/>
      <c r="L124" s="350"/>
      <c r="M124" s="351"/>
      <c r="N124" s="258"/>
      <c r="O124" s="258"/>
    </row>
    <row r="125" spans="1:15" ht="14.15" customHeight="1" x14ac:dyDescent="0.3">
      <c r="A125" s="384"/>
      <c r="B125" s="455"/>
      <c r="C125" s="29"/>
      <c r="D125" s="1"/>
      <c r="E125" s="36"/>
      <c r="F125" s="41"/>
      <c r="G125" s="348"/>
      <c r="H125" s="348"/>
      <c r="I125" s="79"/>
      <c r="J125" s="79"/>
      <c r="K125" s="349"/>
      <c r="L125" s="350"/>
      <c r="M125" s="351"/>
      <c r="N125" s="258"/>
      <c r="O125" s="258"/>
    </row>
    <row r="126" spans="1:15" ht="28" customHeight="1" x14ac:dyDescent="0.3">
      <c r="A126" s="341" t="s">
        <v>202</v>
      </c>
      <c r="B126" s="443" t="s">
        <v>203</v>
      </c>
      <c r="C126" s="87" t="s">
        <v>42</v>
      </c>
      <c r="D126" s="1">
        <v>0</v>
      </c>
      <c r="E126" s="36"/>
      <c r="F126" s="41">
        <v>0.2</v>
      </c>
      <c r="G126" s="348">
        <f>E126/(1-F126)</f>
        <v>0</v>
      </c>
      <c r="H126" s="348">
        <f>140*(20+60+200)</f>
        <v>39200</v>
      </c>
      <c r="I126" s="83">
        <v>0.15</v>
      </c>
      <c r="J126" s="79">
        <f>H126*(1+I126)</f>
        <v>45080</v>
      </c>
      <c r="K126" s="349">
        <f>J126*D126</f>
        <v>0</v>
      </c>
      <c r="L126" s="350">
        <f>G126+J126</f>
        <v>45080</v>
      </c>
      <c r="M126" s="351">
        <f>D126*L126</f>
        <v>0</v>
      </c>
      <c r="N126" s="258"/>
      <c r="O126" s="258"/>
    </row>
    <row r="127" spans="1:15" s="297" customFormat="1" ht="28" customHeight="1" x14ac:dyDescent="0.3">
      <c r="A127" s="341" t="s">
        <v>204</v>
      </c>
      <c r="B127" s="443" t="s">
        <v>205</v>
      </c>
      <c r="C127" s="87" t="s">
        <v>42</v>
      </c>
      <c r="D127" s="1">
        <v>0</v>
      </c>
      <c r="E127" s="36"/>
      <c r="F127" s="41">
        <v>0.2</v>
      </c>
      <c r="G127" s="348">
        <f>E127/(1-F127)</f>
        <v>0</v>
      </c>
      <c r="H127" s="348">
        <f>140*(20+60+200)</f>
        <v>39200</v>
      </c>
      <c r="I127" s="83">
        <v>0.15</v>
      </c>
      <c r="J127" s="79">
        <f>H127*(1+I127)</f>
        <v>45080</v>
      </c>
      <c r="K127" s="349">
        <f>J127*D127</f>
        <v>0</v>
      </c>
      <c r="L127" s="350">
        <f>G127+J127</f>
        <v>45080</v>
      </c>
      <c r="M127" s="351">
        <f>D127*L127</f>
        <v>0</v>
      </c>
      <c r="N127" s="258"/>
      <c r="O127" s="258"/>
    </row>
    <row r="128" spans="1:15" s="297" customFormat="1" ht="14.15" customHeight="1" x14ac:dyDescent="0.3">
      <c r="A128" s="341" t="s">
        <v>206</v>
      </c>
      <c r="B128" s="443" t="s">
        <v>207</v>
      </c>
      <c r="C128" s="29" t="s">
        <v>42</v>
      </c>
      <c r="D128" s="1">
        <v>0</v>
      </c>
      <c r="E128" s="36">
        <f>35*(50+50)</f>
        <v>3500</v>
      </c>
      <c r="F128" s="41">
        <v>0.2</v>
      </c>
      <c r="G128" s="348">
        <f>E128/(1-F128)</f>
        <v>4375</v>
      </c>
      <c r="H128" s="348">
        <f>5*(50+50+50)</f>
        <v>750</v>
      </c>
      <c r="I128" s="83">
        <v>0.15</v>
      </c>
      <c r="J128" s="79">
        <f>H128*(1+I128)</f>
        <v>862.49999999999989</v>
      </c>
      <c r="K128" s="349">
        <f>J128*D128</f>
        <v>0</v>
      </c>
      <c r="L128" s="350">
        <f>G128+J128</f>
        <v>5237.5</v>
      </c>
      <c r="M128" s="351">
        <f>D128*L128</f>
        <v>0</v>
      </c>
      <c r="N128" s="258"/>
      <c r="O128" s="258"/>
    </row>
    <row r="129" spans="1:15" s="297" customFormat="1" ht="14.5" customHeight="1" thickBot="1" x14ac:dyDescent="0.35">
      <c r="A129" s="381" t="s">
        <v>208</v>
      </c>
      <c r="B129" s="446" t="s">
        <v>209</v>
      </c>
      <c r="C129" s="76" t="s">
        <v>42</v>
      </c>
      <c r="D129" s="50">
        <v>0</v>
      </c>
      <c r="E129" s="51">
        <f>4500*3</f>
        <v>13500</v>
      </c>
      <c r="F129" s="52">
        <v>0.2</v>
      </c>
      <c r="G129" s="376">
        <f>E129/(1-F129)</f>
        <v>16875</v>
      </c>
      <c r="H129" s="376">
        <v>5</v>
      </c>
      <c r="I129" s="84">
        <v>0.15</v>
      </c>
      <c r="J129" s="80">
        <f>H129*(1+I129)</f>
        <v>5.75</v>
      </c>
      <c r="K129" s="382">
        <f>J129*D129</f>
        <v>0</v>
      </c>
      <c r="L129" s="407">
        <f>G129+J129</f>
        <v>16880.75</v>
      </c>
      <c r="M129" s="378">
        <f>D129*L129</f>
        <v>0</v>
      </c>
      <c r="N129" s="258"/>
      <c r="O129" s="258"/>
    </row>
    <row r="130" spans="1:15" s="297" customFormat="1" ht="14.5" customHeight="1" thickBot="1" x14ac:dyDescent="0.35">
      <c r="A130" s="404"/>
      <c r="B130" s="456"/>
      <c r="C130" s="28"/>
      <c r="D130" s="1"/>
      <c r="E130" s="36"/>
      <c r="F130" s="41"/>
      <c r="G130" s="348"/>
      <c r="H130" s="348"/>
      <c r="I130" s="79"/>
      <c r="J130" s="79"/>
      <c r="K130" s="406"/>
      <c r="L130" s="350"/>
      <c r="M130" s="351"/>
      <c r="N130" s="258"/>
      <c r="O130" s="258"/>
    </row>
    <row r="131" spans="1:15" s="297" customFormat="1" ht="14.15" customHeight="1" x14ac:dyDescent="0.3">
      <c r="A131" s="359">
        <v>2.1800000000000002</v>
      </c>
      <c r="B131" s="450"/>
      <c r="C131" s="75"/>
      <c r="D131" s="55" t="s">
        <v>210</v>
      </c>
      <c r="E131" s="56"/>
      <c r="F131" s="57"/>
      <c r="G131" s="361"/>
      <c r="H131" s="361"/>
      <c r="I131" s="56"/>
      <c r="J131" s="56"/>
      <c r="K131" s="362"/>
      <c r="L131" s="363"/>
      <c r="M131" s="363"/>
      <c r="N131" s="258"/>
      <c r="O131" s="258"/>
    </row>
    <row r="132" spans="1:15" s="297" customFormat="1" ht="14.15" customHeight="1" x14ac:dyDescent="0.3">
      <c r="A132" s="341"/>
      <c r="B132" s="454"/>
      <c r="C132" s="29"/>
      <c r="D132" s="1"/>
      <c r="E132" s="36"/>
      <c r="F132" s="41"/>
      <c r="G132" s="348"/>
      <c r="H132" s="348"/>
      <c r="I132" s="79"/>
      <c r="J132" s="79"/>
      <c r="K132" s="349"/>
      <c r="L132" s="350"/>
      <c r="M132" s="351"/>
      <c r="N132" s="258"/>
      <c r="O132" s="258"/>
    </row>
    <row r="133" spans="1:15" s="297" customFormat="1" ht="14.15" customHeight="1" x14ac:dyDescent="0.3">
      <c r="A133" s="341" t="s">
        <v>211</v>
      </c>
      <c r="B133" s="443" t="s">
        <v>243</v>
      </c>
      <c r="C133" s="29" t="s">
        <v>42</v>
      </c>
      <c r="D133" s="1">
        <v>1</v>
      </c>
      <c r="E133" s="36">
        <v>10000</v>
      </c>
      <c r="F133" s="41">
        <v>0.2</v>
      </c>
      <c r="G133" s="348">
        <f>E133/(1-F133)</f>
        <v>12500</v>
      </c>
      <c r="H133" s="348">
        <f>2500*3</f>
        <v>7500</v>
      </c>
      <c r="I133" s="79"/>
      <c r="J133" s="79"/>
      <c r="K133" s="349">
        <f>H133*D133</f>
        <v>7500</v>
      </c>
      <c r="L133" s="350">
        <f>G133+J133</f>
        <v>12500</v>
      </c>
      <c r="M133" s="351">
        <f>D133*L133</f>
        <v>12500</v>
      </c>
      <c r="N133" s="258"/>
      <c r="O133" s="258"/>
    </row>
    <row r="134" spans="1:15" s="297" customFormat="1" ht="14.5" customHeight="1" thickBot="1" x14ac:dyDescent="0.35">
      <c r="A134" s="381"/>
      <c r="B134" s="411"/>
      <c r="C134" s="77"/>
      <c r="D134" s="50"/>
      <c r="E134" s="51"/>
      <c r="F134" s="52"/>
      <c r="G134" s="376"/>
      <c r="H134" s="376"/>
      <c r="I134" s="80"/>
      <c r="J134" s="80"/>
      <c r="K134" s="382">
        <f>H134*D134</f>
        <v>0</v>
      </c>
      <c r="L134" s="412"/>
      <c r="M134" s="378"/>
      <c r="N134" s="258"/>
      <c r="O134" s="258"/>
    </row>
    <row r="135" spans="1:15" s="297" customFormat="1" ht="14.15" customHeight="1" x14ac:dyDescent="0.3">
      <c r="A135" s="369"/>
      <c r="B135" s="413"/>
      <c r="C135" s="28"/>
      <c r="D135" s="1"/>
      <c r="E135" s="36"/>
      <c r="F135" s="41"/>
      <c r="G135" s="348"/>
      <c r="H135" s="348"/>
      <c r="I135" s="36"/>
      <c r="J135" s="36"/>
      <c r="K135" s="414"/>
      <c r="L135" s="350"/>
      <c r="M135" s="351"/>
      <c r="N135" s="258"/>
      <c r="O135" s="258"/>
    </row>
    <row r="136" spans="1:15" s="297" customFormat="1" ht="14.15" customHeight="1" x14ac:dyDescent="0.3">
      <c r="A136" s="404">
        <v>2.19</v>
      </c>
      <c r="B136" s="455" t="s">
        <v>213</v>
      </c>
      <c r="C136" s="29"/>
      <c r="D136" s="1"/>
      <c r="E136" s="36"/>
      <c r="F136" s="41"/>
      <c r="G136" s="348"/>
      <c r="H136" s="348"/>
      <c r="I136" s="36"/>
      <c r="J136" s="36"/>
      <c r="K136" s="415">
        <f>H136*D136</f>
        <v>0</v>
      </c>
      <c r="L136" s="350"/>
      <c r="M136" s="351"/>
      <c r="N136" s="258"/>
      <c r="O136" s="258"/>
    </row>
    <row r="137" spans="1:15" s="297" customFormat="1" ht="14.15" customHeight="1" x14ac:dyDescent="0.3">
      <c r="A137" s="404" t="s">
        <v>214</v>
      </c>
      <c r="B137" s="443" t="s">
        <v>215</v>
      </c>
      <c r="C137" s="29" t="s">
        <v>42</v>
      </c>
      <c r="D137" s="1">
        <v>1</v>
      </c>
      <c r="E137" s="36">
        <v>25000</v>
      </c>
      <c r="F137" s="41">
        <v>0</v>
      </c>
      <c r="G137" s="348">
        <f>E137/(1-F137)</f>
        <v>25000</v>
      </c>
      <c r="H137" s="348">
        <v>0</v>
      </c>
      <c r="I137" s="36"/>
      <c r="J137" s="36"/>
      <c r="K137" s="415">
        <f>H137*D137</f>
        <v>0</v>
      </c>
      <c r="L137" s="350">
        <f>G137+H137</f>
        <v>25000</v>
      </c>
      <c r="M137" s="351">
        <f>D137*L137</f>
        <v>25000</v>
      </c>
      <c r="N137" s="258"/>
      <c r="O137" s="258"/>
    </row>
    <row r="138" spans="1:15" s="297" customFormat="1" ht="14.15" customHeight="1" x14ac:dyDescent="0.3">
      <c r="A138" s="404"/>
      <c r="B138" s="455"/>
      <c r="C138" s="29"/>
      <c r="D138" s="1"/>
      <c r="E138" s="36"/>
      <c r="F138" s="41"/>
      <c r="G138" s="348"/>
      <c r="H138" s="348"/>
      <c r="I138" s="36"/>
      <c r="J138" s="36"/>
      <c r="K138" s="415"/>
      <c r="L138" s="350"/>
      <c r="M138" s="351"/>
      <c r="N138" s="258"/>
      <c r="O138" s="258"/>
    </row>
    <row r="139" spans="1:15" s="297" customFormat="1" ht="14.15" customHeight="1" x14ac:dyDescent="0.3">
      <c r="A139" s="416">
        <v>2.2000000000000002</v>
      </c>
      <c r="B139" s="455" t="s">
        <v>216</v>
      </c>
      <c r="C139" s="29"/>
      <c r="D139" s="1"/>
      <c r="E139" s="36"/>
      <c r="F139" s="41"/>
      <c r="G139" s="348"/>
      <c r="H139" s="348"/>
      <c r="I139" s="36"/>
      <c r="J139" s="36"/>
      <c r="K139" s="415">
        <f>H139*D139</f>
        <v>0</v>
      </c>
      <c r="L139" s="350"/>
      <c r="M139" s="351"/>
      <c r="N139" s="258"/>
      <c r="O139" s="258"/>
    </row>
    <row r="140" spans="1:15" s="297" customFormat="1" ht="14.15" customHeight="1" x14ac:dyDescent="0.3">
      <c r="A140" s="404" t="s">
        <v>217</v>
      </c>
      <c r="B140" s="443" t="s">
        <v>218</v>
      </c>
      <c r="C140" s="29" t="s">
        <v>42</v>
      </c>
      <c r="D140" s="1">
        <v>1</v>
      </c>
      <c r="E140" s="36">
        <f>15000</f>
        <v>15000</v>
      </c>
      <c r="F140" s="41">
        <v>0</v>
      </c>
      <c r="G140" s="348">
        <f>E140/(1-F140)</f>
        <v>15000</v>
      </c>
      <c r="H140" s="348">
        <v>0</v>
      </c>
      <c r="I140" s="36"/>
      <c r="J140" s="36"/>
      <c r="K140" s="415">
        <f>H140*D140</f>
        <v>0</v>
      </c>
      <c r="L140" s="350">
        <f>G140+H140</f>
        <v>15000</v>
      </c>
      <c r="M140" s="351">
        <f>D140*L140</f>
        <v>15000</v>
      </c>
      <c r="N140" s="258"/>
      <c r="O140" s="258"/>
    </row>
    <row r="141" spans="1:15" s="297" customFormat="1" ht="14.15" customHeight="1" x14ac:dyDescent="0.3">
      <c r="A141" s="404"/>
      <c r="B141" s="455"/>
      <c r="C141" s="29"/>
      <c r="D141" s="1"/>
      <c r="E141" s="36"/>
      <c r="F141" s="41"/>
      <c r="G141" s="348"/>
      <c r="H141" s="348"/>
      <c r="I141" s="36"/>
      <c r="J141" s="36"/>
      <c r="K141" s="415"/>
      <c r="L141" s="350"/>
      <c r="M141" s="351"/>
      <c r="N141" s="258"/>
      <c r="O141" s="258"/>
    </row>
    <row r="142" spans="1:15" s="297" customFormat="1" ht="14.15" customHeight="1" x14ac:dyDescent="0.3">
      <c r="A142" s="404">
        <v>2.21</v>
      </c>
      <c r="B142" s="455" t="s">
        <v>219</v>
      </c>
      <c r="C142" s="29"/>
      <c r="D142" s="1"/>
      <c r="E142" s="36"/>
      <c r="F142" s="41"/>
      <c r="G142" s="348"/>
      <c r="H142" s="348"/>
      <c r="I142" s="36"/>
      <c r="J142" s="36"/>
      <c r="K142" s="415">
        <f>H142*D142</f>
        <v>0</v>
      </c>
      <c r="L142" s="350"/>
      <c r="M142" s="351"/>
      <c r="N142" s="258"/>
      <c r="O142" s="258"/>
    </row>
    <row r="143" spans="1:15" ht="14.15" customHeight="1" x14ac:dyDescent="0.3">
      <c r="A143" s="404" t="s">
        <v>220</v>
      </c>
      <c r="B143" s="443" t="s">
        <v>221</v>
      </c>
      <c r="C143" s="29" t="s">
        <v>42</v>
      </c>
      <c r="D143" s="1">
        <v>1</v>
      </c>
      <c r="E143" s="36">
        <f>5000</f>
        <v>5000</v>
      </c>
      <c r="F143" s="41">
        <v>0</v>
      </c>
      <c r="G143" s="348">
        <f>E143/(1-F143)</f>
        <v>5000</v>
      </c>
      <c r="H143" s="348">
        <v>0</v>
      </c>
      <c r="I143" s="36"/>
      <c r="J143" s="36"/>
      <c r="K143" s="415">
        <f>H143*D143</f>
        <v>0</v>
      </c>
      <c r="L143" s="350">
        <f>G143+H143</f>
        <v>5000</v>
      </c>
      <c r="M143" s="351">
        <f>D143*L143</f>
        <v>5000</v>
      </c>
      <c r="N143" s="258"/>
      <c r="O143" s="258"/>
    </row>
    <row r="144" spans="1:15" ht="14.15" customHeight="1" x14ac:dyDescent="0.3">
      <c r="A144" s="404" t="s">
        <v>222</v>
      </c>
      <c r="B144" s="443" t="s">
        <v>223</v>
      </c>
      <c r="C144" s="29" t="s">
        <v>42</v>
      </c>
      <c r="D144" s="1">
        <v>1</v>
      </c>
      <c r="E144" s="36">
        <f>50000</f>
        <v>50000</v>
      </c>
      <c r="F144" s="41">
        <v>0</v>
      </c>
      <c r="G144" s="348">
        <f>E144/(1-F144)</f>
        <v>50000</v>
      </c>
      <c r="H144" s="348">
        <v>0</v>
      </c>
      <c r="I144" s="36"/>
      <c r="J144" s="36"/>
      <c r="K144" s="415">
        <f>H144*D144</f>
        <v>0</v>
      </c>
      <c r="L144" s="350">
        <f>G144+H144</f>
        <v>50000</v>
      </c>
      <c r="M144" s="351">
        <f>D144*L144</f>
        <v>50000</v>
      </c>
      <c r="N144" s="258"/>
      <c r="O144" s="258"/>
    </row>
    <row r="145" spans="1:15" ht="14.15" customHeight="1" x14ac:dyDescent="0.3">
      <c r="A145" s="404"/>
      <c r="B145" s="413"/>
      <c r="C145" s="28"/>
      <c r="D145" s="1"/>
      <c r="E145" s="36"/>
      <c r="F145" s="41"/>
      <c r="G145" s="348"/>
      <c r="H145" s="348"/>
      <c r="I145" s="36"/>
      <c r="J145" s="36"/>
      <c r="K145" s="415"/>
      <c r="L145" s="350"/>
      <c r="M145" s="351"/>
      <c r="N145" s="258"/>
      <c r="O145" s="258"/>
    </row>
    <row r="146" spans="1:15" ht="14.15" customHeight="1" x14ac:dyDescent="0.3">
      <c r="A146" s="404">
        <v>2.2200000000000002</v>
      </c>
      <c r="B146" s="455" t="s">
        <v>224</v>
      </c>
      <c r="C146" s="28"/>
      <c r="D146" s="1"/>
      <c r="E146" s="36"/>
      <c r="F146" s="41"/>
      <c r="G146" s="348"/>
      <c r="H146" s="348"/>
      <c r="I146" s="36"/>
      <c r="J146" s="36"/>
      <c r="K146" s="415">
        <f>H146*D146</f>
        <v>0</v>
      </c>
      <c r="L146" s="350"/>
      <c r="M146" s="351"/>
      <c r="N146" s="258"/>
      <c r="O146" s="258"/>
    </row>
    <row r="147" spans="1:15" ht="14.15" customHeight="1" x14ac:dyDescent="0.3">
      <c r="A147" s="404"/>
      <c r="B147" s="413"/>
      <c r="C147" s="28"/>
      <c r="D147" s="1"/>
      <c r="E147" s="36"/>
      <c r="F147" s="41"/>
      <c r="G147" s="348"/>
      <c r="H147" s="348"/>
      <c r="I147" s="36"/>
      <c r="J147" s="36"/>
      <c r="K147" s="415">
        <f>H147*D147</f>
        <v>0</v>
      </c>
      <c r="L147" s="350"/>
      <c r="M147" s="351"/>
      <c r="N147" s="258"/>
      <c r="O147" s="258"/>
    </row>
    <row r="148" spans="1:15" ht="28" customHeight="1" x14ac:dyDescent="0.3">
      <c r="A148" s="404" t="s">
        <v>225</v>
      </c>
      <c r="B148" s="443" t="s">
        <v>226</v>
      </c>
      <c r="C148" s="1" t="s">
        <v>42</v>
      </c>
      <c r="D148" s="1">
        <v>1</v>
      </c>
      <c r="E148" s="36">
        <f>5000*3</f>
        <v>15000</v>
      </c>
      <c r="F148" s="41">
        <v>0.2</v>
      </c>
      <c r="G148" s="348">
        <f>E148/(1-F148)</f>
        <v>18750</v>
      </c>
      <c r="H148" s="348">
        <v>1</v>
      </c>
      <c r="I148" s="36"/>
      <c r="J148" s="36"/>
      <c r="K148" s="415">
        <f>H148*D148</f>
        <v>1</v>
      </c>
      <c r="L148" s="350">
        <f>G148+H148</f>
        <v>18751</v>
      </c>
      <c r="M148" s="351">
        <f>D148*L148</f>
        <v>18751</v>
      </c>
      <c r="N148" s="258"/>
      <c r="O148" s="258"/>
    </row>
    <row r="149" spans="1:15" ht="14.15" customHeight="1" x14ac:dyDescent="0.3">
      <c r="A149" s="404"/>
      <c r="B149" s="413"/>
      <c r="C149" s="28"/>
      <c r="D149" s="1"/>
      <c r="E149" s="36"/>
      <c r="F149" s="41"/>
      <c r="G149" s="348"/>
      <c r="H149" s="348"/>
      <c r="I149" s="36"/>
      <c r="J149" s="36"/>
      <c r="K149" s="417"/>
      <c r="L149" s="350"/>
      <c r="M149" s="418"/>
      <c r="N149" s="258"/>
      <c r="O149" s="258"/>
    </row>
    <row r="150" spans="1:15" ht="14.5" customHeight="1" thickBot="1" x14ac:dyDescent="0.35">
      <c r="A150" s="440"/>
      <c r="B150" s="413"/>
      <c r="C150" s="28"/>
      <c r="D150" s="1"/>
      <c r="E150" s="36"/>
      <c r="F150" s="41"/>
      <c r="G150" s="348"/>
      <c r="H150" s="348"/>
      <c r="I150" s="36"/>
      <c r="J150" s="36"/>
      <c r="K150" s="417"/>
      <c r="L150" s="350"/>
      <c r="M150" s="418"/>
      <c r="N150" s="258"/>
      <c r="O150" s="258"/>
    </row>
    <row r="151" spans="1:15" ht="18.75" customHeight="1" thickTop="1" x14ac:dyDescent="0.3">
      <c r="A151" s="419"/>
      <c r="B151" s="457" t="s">
        <v>227</v>
      </c>
      <c r="C151" s="2"/>
      <c r="D151" s="2"/>
      <c r="E151" s="39"/>
      <c r="F151" s="42"/>
      <c r="G151" s="421"/>
      <c r="H151" s="421"/>
      <c r="I151" s="39"/>
      <c r="J151" s="39"/>
      <c r="K151" s="422">
        <f>SUM(K11:K148)</f>
        <v>94814.75</v>
      </c>
      <c r="L151" s="458"/>
      <c r="M151" s="424">
        <f>SUM(M11:M150)</f>
        <v>565138.8200595238</v>
      </c>
      <c r="N151" s="258"/>
      <c r="O151" s="258"/>
    </row>
    <row r="152" spans="1:15" ht="16.5" customHeight="1" x14ac:dyDescent="0.3">
      <c r="A152" s="426"/>
      <c r="B152" s="427"/>
      <c r="C152" s="257"/>
      <c r="D152" s="47"/>
      <c r="E152" s="250"/>
      <c r="F152" s="48"/>
      <c r="G152" s="428"/>
      <c r="H152" s="428"/>
      <c r="I152" s="250"/>
      <c r="J152" s="250"/>
      <c r="K152" s="429"/>
      <c r="L152" s="430"/>
      <c r="M152" s="431"/>
      <c r="N152" s="258"/>
      <c r="O152" s="258"/>
    </row>
    <row r="153" spans="1:15" ht="18.75" customHeight="1" x14ac:dyDescent="0.3">
      <c r="A153" s="258"/>
      <c r="B153" s="387"/>
      <c r="C153" s="34"/>
      <c r="D153" s="249"/>
      <c r="E153" s="249"/>
      <c r="F153" s="249"/>
      <c r="G153" s="432"/>
      <c r="H153" s="432"/>
      <c r="I153" s="249"/>
      <c r="J153" s="249"/>
      <c r="K153" s="432"/>
      <c r="L153" s="433"/>
      <c r="M153" s="434"/>
      <c r="N153" s="258"/>
      <c r="O153" s="258"/>
    </row>
    <row r="154" spans="1:15" ht="18.75" customHeight="1" x14ac:dyDescent="0.25"/>
    <row r="155" spans="1:15" ht="18.75" customHeight="1" x14ac:dyDescent="0.25"/>
    <row r="156" spans="1:15" ht="18.75" customHeight="1" x14ac:dyDescent="0.25"/>
    <row r="157" spans="1:15" ht="18.75" customHeight="1" x14ac:dyDescent="0.25"/>
    <row r="158" spans="1:15" ht="18.75" customHeight="1" x14ac:dyDescent="0.25"/>
    <row r="159" spans="1:15" ht="18.75" customHeight="1" x14ac:dyDescent="0.25"/>
    <row r="160" spans="1:15" ht="18.75" customHeight="1" x14ac:dyDescent="0.25"/>
    <row r="161" ht="18.75" customHeight="1" x14ac:dyDescent="0.25"/>
    <row r="162" ht="18.75" customHeight="1" x14ac:dyDescent="0.25"/>
    <row r="163" ht="18.75" customHeight="1" x14ac:dyDescent="0.25"/>
    <row r="164" ht="18.75" customHeight="1" x14ac:dyDescent="0.25"/>
    <row r="165" ht="18.75" customHeight="1" x14ac:dyDescent="0.25"/>
    <row r="166" ht="18.75" customHeight="1" x14ac:dyDescent="0.25"/>
    <row r="167" ht="18.75" customHeight="1" x14ac:dyDescent="0.25"/>
    <row r="168" ht="18.75" customHeight="1" x14ac:dyDescent="0.25"/>
    <row r="169" ht="18.75" customHeight="1" x14ac:dyDescent="0.25"/>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169"/>
  <sheetViews>
    <sheetView view="pageBreakPreview" topLeftCell="H1" zoomScale="85" zoomScaleNormal="100" zoomScaleSheetLayoutView="85" workbookViewId="0">
      <pane ySplit="5" topLeftCell="A142" activePane="bottomLeft" state="frozen"/>
      <selection pane="bottomLeft" activeCell="N152" sqref="N152"/>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1" width="13.81640625" style="8" customWidth="1"/>
    <col min="12" max="12" width="12.453125" style="295"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33" t="s">
        <v>36</v>
      </c>
      <c r="E5" s="82" t="s">
        <v>72</v>
      </c>
      <c r="F5" s="82" t="s">
        <v>73</v>
      </c>
      <c r="G5" s="313" t="s">
        <v>74</v>
      </c>
      <c r="H5" s="314" t="s">
        <v>75</v>
      </c>
      <c r="I5" s="82" t="s">
        <v>73</v>
      </c>
      <c r="J5" s="315" t="s">
        <v>76</v>
      </c>
      <c r="K5" s="439"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234</v>
      </c>
      <c r="B11" s="347" t="s">
        <v>235</v>
      </c>
      <c r="C11" s="248" t="s">
        <v>85</v>
      </c>
      <c r="D11" s="1">
        <v>0</v>
      </c>
      <c r="E11" s="36">
        <f>1623.93</f>
        <v>1623.93</v>
      </c>
      <c r="F11" s="41">
        <v>0.25</v>
      </c>
      <c r="G11" s="348">
        <f>E11/(1-F11)</f>
        <v>2165.2400000000002</v>
      </c>
      <c r="H11" s="348">
        <v>350</v>
      </c>
      <c r="I11" s="83">
        <v>0.15</v>
      </c>
      <c r="J11" s="79">
        <f>H11*(1+I11)</f>
        <v>402.49999999999994</v>
      </c>
      <c r="K11" s="349">
        <f>J11*D11</f>
        <v>0</v>
      </c>
      <c r="L11" s="350">
        <f>G11+J11</f>
        <v>2567.7400000000002</v>
      </c>
      <c r="M11" s="351">
        <f>D11*L11</f>
        <v>0</v>
      </c>
      <c r="N11" s="258"/>
      <c r="O11" s="258"/>
    </row>
    <row r="12" spans="1:15" ht="14.5" customHeight="1" thickBot="1" x14ac:dyDescent="0.35">
      <c r="A12" s="354"/>
      <c r="B12" s="441"/>
      <c r="C12" s="71"/>
      <c r="D12" s="72"/>
      <c r="E12" s="73"/>
      <c r="F12" s="74"/>
      <c r="G12" s="356"/>
      <c r="H12" s="356"/>
      <c r="I12" s="73"/>
      <c r="J12" s="73"/>
      <c r="K12" s="357"/>
      <c r="L12" s="358"/>
      <c r="M12" s="358"/>
      <c r="N12" s="258"/>
      <c r="O12" s="258"/>
    </row>
    <row r="13" spans="1:15" ht="14.15" customHeight="1" x14ac:dyDescent="0.3">
      <c r="A13" s="359" t="s">
        <v>86</v>
      </c>
      <c r="B13" s="360"/>
      <c r="C13" s="255"/>
      <c r="D13" s="58" t="s">
        <v>87</v>
      </c>
      <c r="E13" s="56"/>
      <c r="F13" s="57"/>
      <c r="G13" s="361"/>
      <c r="H13" s="361"/>
      <c r="I13" s="56"/>
      <c r="J13" s="56"/>
      <c r="K13" s="362"/>
      <c r="L13" s="363"/>
      <c r="M13" s="363"/>
      <c r="N13" s="258"/>
      <c r="O13" s="258"/>
    </row>
    <row r="14" spans="1:15" ht="14.5" customHeight="1" thickBot="1" x14ac:dyDescent="0.35">
      <c r="A14" s="341" t="s">
        <v>88</v>
      </c>
      <c r="B14" s="442" t="s">
        <v>236</v>
      </c>
      <c r="C14" s="248" t="s">
        <v>85</v>
      </c>
      <c r="D14" s="1">
        <v>1</v>
      </c>
      <c r="E14" s="36">
        <v>16062.21</v>
      </c>
      <c r="F14" s="41">
        <v>0.2</v>
      </c>
      <c r="G14" s="348">
        <f>E14/(1-F14)</f>
        <v>20077.762499999997</v>
      </c>
      <c r="H14" s="348">
        <f>(550*8)+3600</f>
        <v>8000</v>
      </c>
      <c r="I14" s="83">
        <v>0.15</v>
      </c>
      <c r="J14" s="79">
        <f>H14*(1+I14)</f>
        <v>9200</v>
      </c>
      <c r="K14" s="349">
        <f>J14*D14</f>
        <v>9200</v>
      </c>
      <c r="L14" s="350">
        <f>G14+J14</f>
        <v>29277.762499999997</v>
      </c>
      <c r="M14" s="351">
        <f>D14*L14</f>
        <v>29277.762499999997</v>
      </c>
      <c r="N14" s="258"/>
      <c r="O14" s="258"/>
    </row>
    <row r="15" spans="1:15" ht="14.5" customHeight="1" thickBot="1" x14ac:dyDescent="0.35">
      <c r="A15" s="354"/>
      <c r="B15" s="441"/>
      <c r="C15" s="71"/>
      <c r="D15" s="72"/>
      <c r="E15" s="73"/>
      <c r="F15" s="74"/>
      <c r="G15" s="356"/>
      <c r="H15" s="356"/>
      <c r="I15" s="73"/>
      <c r="J15" s="73"/>
      <c r="K15" s="357"/>
      <c r="L15" s="358"/>
      <c r="M15" s="358"/>
      <c r="N15" s="258"/>
      <c r="O15" s="258"/>
    </row>
    <row r="16" spans="1:15" ht="14.15" customHeight="1" x14ac:dyDescent="0.3">
      <c r="A16" s="359">
        <v>2.2999999999999998</v>
      </c>
      <c r="B16" s="367"/>
      <c r="C16" s="255"/>
      <c r="D16" s="58" t="s">
        <v>91</v>
      </c>
      <c r="E16" s="56"/>
      <c r="F16" s="57"/>
      <c r="G16" s="361"/>
      <c r="H16" s="361"/>
      <c r="I16" s="56"/>
      <c r="J16" s="56"/>
      <c r="K16" s="362"/>
      <c r="L16" s="363"/>
      <c r="M16" s="363"/>
      <c r="N16" s="258"/>
      <c r="O16" s="258"/>
    </row>
    <row r="17" spans="1:15" ht="14.15" customHeight="1" x14ac:dyDescent="0.3">
      <c r="A17" s="341" t="s">
        <v>92</v>
      </c>
      <c r="B17" s="443" t="s">
        <v>237</v>
      </c>
      <c r="C17" s="30" t="s">
        <v>90</v>
      </c>
      <c r="D17" s="1">
        <v>1</v>
      </c>
      <c r="E17" s="36">
        <v>13730</v>
      </c>
      <c r="F17" s="41">
        <v>0.2</v>
      </c>
      <c r="G17" s="348">
        <f>E17/(1-F17)</f>
        <v>17162.5</v>
      </c>
      <c r="H17" s="348">
        <f>(550*4)+3500</f>
        <v>5700</v>
      </c>
      <c r="I17" s="83">
        <v>0.15</v>
      </c>
      <c r="J17" s="79">
        <f>H17*(1+I17)</f>
        <v>6554.9999999999991</v>
      </c>
      <c r="K17" s="349">
        <f>J17*D17</f>
        <v>6554.9999999999991</v>
      </c>
      <c r="L17" s="350">
        <f>G17+J17</f>
        <v>23717.5</v>
      </c>
      <c r="M17" s="351">
        <f>D17*L17</f>
        <v>23717.5</v>
      </c>
      <c r="N17" s="258"/>
      <c r="O17" s="258"/>
    </row>
    <row r="18" spans="1:15" ht="14.5" customHeight="1" thickBot="1" x14ac:dyDescent="0.35">
      <c r="A18" s="341" t="s">
        <v>94</v>
      </c>
      <c r="B18" s="444" t="s">
        <v>238</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436"/>
      <c r="O18" s="369"/>
    </row>
    <row r="19" spans="1:15" ht="14.15" customHeight="1" x14ac:dyDescent="0.3">
      <c r="A19" s="359">
        <v>2.4</v>
      </c>
      <c r="B19" s="360"/>
      <c r="C19" s="255"/>
      <c r="D19" s="58" t="s">
        <v>96</v>
      </c>
      <c r="E19" s="56"/>
      <c r="F19" s="57"/>
      <c r="G19" s="361"/>
      <c r="H19" s="361"/>
      <c r="I19" s="56"/>
      <c r="J19" s="56"/>
      <c r="K19" s="362"/>
      <c r="L19" s="363"/>
      <c r="M19" s="363"/>
      <c r="N19" s="258"/>
      <c r="O19" s="258"/>
    </row>
    <row r="20" spans="1:15" ht="28" customHeight="1" x14ac:dyDescent="0.3">
      <c r="A20" s="370" t="s">
        <v>97</v>
      </c>
      <c r="B20" s="445" t="s">
        <v>244</v>
      </c>
      <c r="C20" s="7" t="s">
        <v>42</v>
      </c>
      <c r="D20" s="7">
        <v>1</v>
      </c>
      <c r="E20" s="37">
        <f>45242.35*1.2</f>
        <v>54290.82</v>
      </c>
      <c r="F20" s="41">
        <v>0.2</v>
      </c>
      <c r="G20" s="348">
        <f>E20/(1-F20)</f>
        <v>67863.524999999994</v>
      </c>
      <c r="H20" s="371">
        <f>(550*8)+3600</f>
        <v>8000</v>
      </c>
      <c r="I20" s="83">
        <v>0.15</v>
      </c>
      <c r="J20" s="79">
        <f>H20*(1+I20)</f>
        <v>9200</v>
      </c>
      <c r="K20" s="349">
        <f>J20*D20</f>
        <v>9200</v>
      </c>
      <c r="L20" s="350">
        <f>G20+J20</f>
        <v>77063.524999999994</v>
      </c>
      <c r="M20" s="351">
        <f>D20*L20</f>
        <v>77063.524999999994</v>
      </c>
      <c r="N20" s="258"/>
      <c r="O20" s="258"/>
    </row>
    <row r="21" spans="1:15" ht="14.15" customHeight="1" x14ac:dyDescent="0.3">
      <c r="A21" s="370"/>
      <c r="B21" s="443"/>
      <c r="C21" s="3"/>
      <c r="D21" s="7"/>
      <c r="E21" s="37"/>
      <c r="F21" s="41"/>
      <c r="G21" s="348"/>
      <c r="H21" s="371"/>
      <c r="I21" s="66"/>
      <c r="J21" s="66"/>
      <c r="K21" s="349"/>
      <c r="L21" s="350"/>
      <c r="M21" s="351"/>
      <c r="N21" s="258"/>
      <c r="O21" s="258"/>
    </row>
    <row r="22" spans="1:15" ht="14.15" customHeight="1" x14ac:dyDescent="0.3">
      <c r="A22" s="370" t="s">
        <v>99</v>
      </c>
      <c r="B22" s="443"/>
      <c r="C22" s="3"/>
      <c r="D22" s="7"/>
      <c r="E22" s="37"/>
      <c r="F22" s="41"/>
      <c r="G22" s="348"/>
      <c r="H22" s="371"/>
      <c r="I22" s="66"/>
      <c r="J22" s="66"/>
      <c r="K22" s="349"/>
      <c r="L22" s="350"/>
      <c r="M22" s="351"/>
      <c r="N22" s="258"/>
      <c r="O22" s="258"/>
    </row>
    <row r="23" spans="1:15" ht="28.5" customHeight="1" thickBot="1" x14ac:dyDescent="0.35">
      <c r="A23" s="374"/>
      <c r="B23" s="446" t="s">
        <v>100</v>
      </c>
      <c r="C23" s="68" t="s">
        <v>90</v>
      </c>
      <c r="D23" s="68">
        <v>2</v>
      </c>
      <c r="E23" s="69">
        <f>1888.71*1.15</f>
        <v>2172.0164999999997</v>
      </c>
      <c r="F23" s="52">
        <v>0.2</v>
      </c>
      <c r="G23" s="376">
        <f>E23/(1-F23)</f>
        <v>2715.0206249999997</v>
      </c>
      <c r="H23" s="377">
        <f>250*1</f>
        <v>250</v>
      </c>
      <c r="I23" s="83">
        <v>0.15</v>
      </c>
      <c r="J23" s="79">
        <f>H23*(1+I23)</f>
        <v>287.5</v>
      </c>
      <c r="K23" s="349">
        <f>J23*D23</f>
        <v>575</v>
      </c>
      <c r="L23" s="350">
        <f>G23+J23</f>
        <v>3002.5206249999997</v>
      </c>
      <c r="M23" s="378">
        <f>D23*L23</f>
        <v>6005.0412499999993</v>
      </c>
      <c r="N23" s="258"/>
      <c r="O23" s="258"/>
    </row>
    <row r="24" spans="1:15" ht="14.5" customHeight="1" thickBot="1" x14ac:dyDescent="0.35">
      <c r="A24" s="354"/>
      <c r="B24" s="441"/>
      <c r="C24" s="71"/>
      <c r="D24" s="72"/>
      <c r="E24" s="73"/>
      <c r="F24" s="74"/>
      <c r="G24" s="356"/>
      <c r="H24" s="356"/>
      <c r="I24" s="73"/>
      <c r="J24" s="73"/>
      <c r="K24" s="357"/>
      <c r="L24" s="358"/>
      <c r="M24" s="358"/>
      <c r="N24" s="258"/>
      <c r="O24" s="258"/>
    </row>
    <row r="25" spans="1:15" ht="14.15" customHeight="1" x14ac:dyDescent="0.3">
      <c r="A25" s="379">
        <v>2.5</v>
      </c>
      <c r="B25" s="360"/>
      <c r="C25" s="255"/>
      <c r="D25" s="58" t="s">
        <v>101</v>
      </c>
      <c r="E25" s="56"/>
      <c r="F25" s="57"/>
      <c r="G25" s="361"/>
      <c r="H25" s="361"/>
      <c r="I25" s="56"/>
      <c r="J25" s="56"/>
      <c r="K25" s="362"/>
      <c r="L25" s="363"/>
      <c r="M25" s="363"/>
      <c r="N25" s="258"/>
      <c r="O25" s="258"/>
    </row>
    <row r="26" spans="1:15" ht="14.15" customHeight="1" x14ac:dyDescent="0.3">
      <c r="A26" s="380" t="s">
        <v>102</v>
      </c>
      <c r="B26" s="444" t="s">
        <v>103</v>
      </c>
      <c r="C26" s="7" t="s">
        <v>85</v>
      </c>
      <c r="D26" s="7">
        <v>1</v>
      </c>
      <c r="E26" s="37">
        <v>650</v>
      </c>
      <c r="F26" s="41">
        <v>0.2</v>
      </c>
      <c r="G26" s="348">
        <f>E26/(1-F26)</f>
        <v>812.5</v>
      </c>
      <c r="H26" s="371">
        <f>(((5*200)*4)*1.2)/D26</f>
        <v>4800</v>
      </c>
      <c r="I26" s="83">
        <v>0.15</v>
      </c>
      <c r="J26" s="79">
        <f>H26*(1+I26)</f>
        <v>5520</v>
      </c>
      <c r="K26" s="349">
        <f>J26*D26</f>
        <v>5520</v>
      </c>
      <c r="L26" s="350">
        <f>G26+J26</f>
        <v>6332.5</v>
      </c>
      <c r="M26" s="351">
        <f>D26*L26</f>
        <v>6332.5</v>
      </c>
      <c r="N26" s="258"/>
      <c r="O26" s="258"/>
    </row>
    <row r="27" spans="1:15" ht="14.5" customHeight="1" thickBot="1" x14ac:dyDescent="0.35">
      <c r="A27" s="381"/>
      <c r="B27" s="446" t="s">
        <v>104</v>
      </c>
      <c r="C27" s="49"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441"/>
      <c r="C28" s="71"/>
      <c r="D28" s="72"/>
      <c r="E28" s="73"/>
      <c r="F28" s="74"/>
      <c r="G28" s="356"/>
      <c r="H28" s="356"/>
      <c r="I28" s="73"/>
      <c r="J28" s="73"/>
      <c r="K28" s="357"/>
      <c r="L28" s="358"/>
      <c r="M28" s="358"/>
      <c r="N28" s="258"/>
      <c r="O28" s="258"/>
    </row>
    <row r="29" spans="1:15" ht="14.15" customHeight="1" x14ac:dyDescent="0.3">
      <c r="A29" s="359">
        <v>2.6</v>
      </c>
      <c r="B29" s="360"/>
      <c r="C29" s="255"/>
      <c r="D29" s="58" t="s">
        <v>105</v>
      </c>
      <c r="E29" s="56"/>
      <c r="F29" s="57"/>
      <c r="G29" s="361"/>
      <c r="H29" s="361"/>
      <c r="I29" s="56"/>
      <c r="J29" s="56"/>
      <c r="K29" s="362"/>
      <c r="L29" s="363"/>
      <c r="M29" s="363"/>
      <c r="N29" s="258"/>
      <c r="O29" s="258"/>
    </row>
    <row r="30" spans="1:15" ht="42" customHeight="1" x14ac:dyDescent="0.3">
      <c r="A30" s="341" t="s">
        <v>106</v>
      </c>
      <c r="B30" s="444" t="s">
        <v>107</v>
      </c>
      <c r="C30" s="248" t="s">
        <v>108</v>
      </c>
      <c r="D30" s="1">
        <v>0</v>
      </c>
      <c r="E30" s="36">
        <f>14.85*1.15</f>
        <v>17.077499999999997</v>
      </c>
      <c r="F30" s="41">
        <v>0.2</v>
      </c>
      <c r="G30" s="348">
        <f>E30/(1-F30)</f>
        <v>21.346874999999994</v>
      </c>
      <c r="H30" s="348">
        <f>39</f>
        <v>39</v>
      </c>
      <c r="I30" s="83">
        <v>0.15</v>
      </c>
      <c r="J30" s="79">
        <f>H30*(1+I30)</f>
        <v>44.849999999999994</v>
      </c>
      <c r="K30" s="349">
        <f>J30*D30</f>
        <v>0</v>
      </c>
      <c r="L30" s="350">
        <f>G30+J30</f>
        <v>66.196874999999991</v>
      </c>
      <c r="M30" s="351">
        <f>D30*L30</f>
        <v>0</v>
      </c>
      <c r="N30" s="258"/>
      <c r="O30" s="258"/>
    </row>
    <row r="31" spans="1:15" ht="14.15" customHeight="1" x14ac:dyDescent="0.3">
      <c r="A31" s="341" t="s">
        <v>109</v>
      </c>
      <c r="B31" s="443" t="s">
        <v>110</v>
      </c>
      <c r="C31" s="30" t="s">
        <v>108</v>
      </c>
      <c r="D31" s="1"/>
      <c r="E31" s="36">
        <f>180*1.15</f>
        <v>206.99999999999997</v>
      </c>
      <c r="F31" s="41">
        <v>0.2</v>
      </c>
      <c r="G31" s="348">
        <f>E31/(1-F31)</f>
        <v>258.74999999999994</v>
      </c>
      <c r="H31" s="348">
        <f>65</f>
        <v>65</v>
      </c>
      <c r="I31" s="83">
        <v>0.15</v>
      </c>
      <c r="J31" s="79">
        <f>H31*(1+I31)</f>
        <v>74.75</v>
      </c>
      <c r="K31" s="349">
        <f>J31*D31</f>
        <v>0</v>
      </c>
      <c r="L31" s="350">
        <f>G31+J31</f>
        <v>333.49999999999994</v>
      </c>
      <c r="M31" s="351">
        <f>D31*L31</f>
        <v>0</v>
      </c>
      <c r="N31" s="258"/>
      <c r="O31" s="258"/>
    </row>
    <row r="32" spans="1:15" ht="14.15" customHeight="1" x14ac:dyDescent="0.3">
      <c r="A32" s="341" t="s">
        <v>111</v>
      </c>
      <c r="B32" s="443" t="s">
        <v>112</v>
      </c>
      <c r="C32" s="30" t="s">
        <v>108</v>
      </c>
      <c r="D32" s="1">
        <f>6+N("3m per electrode")</f>
        <v>6</v>
      </c>
      <c r="E32" s="36">
        <f>190</f>
        <v>190</v>
      </c>
      <c r="F32" s="41">
        <v>0.2</v>
      </c>
      <c r="G32" s="348">
        <f>E32/(1-F32)</f>
        <v>237.5</v>
      </c>
      <c r="H32" s="348">
        <f>65</f>
        <v>65</v>
      </c>
      <c r="I32" s="83">
        <v>0.15</v>
      </c>
      <c r="J32" s="79">
        <f>H32*(1+I32)</f>
        <v>74.75</v>
      </c>
      <c r="K32" s="349">
        <f>J32*D32</f>
        <v>448.5</v>
      </c>
      <c r="L32" s="350">
        <f>G32+J32</f>
        <v>312.25</v>
      </c>
      <c r="M32" s="351">
        <f>D32*L32</f>
        <v>1873.5</v>
      </c>
      <c r="N32" s="258"/>
      <c r="O32" s="258"/>
    </row>
    <row r="33" spans="1:15" ht="14.5" customHeight="1" thickBot="1" x14ac:dyDescent="0.35">
      <c r="A33" s="381"/>
      <c r="B33" s="447" t="s">
        <v>113</v>
      </c>
      <c r="C33" s="49" t="s">
        <v>108</v>
      </c>
      <c r="D33" s="50"/>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441"/>
      <c r="C34" s="71"/>
      <c r="D34" s="72"/>
      <c r="E34" s="73"/>
      <c r="F34" s="74"/>
      <c r="G34" s="356"/>
      <c r="H34" s="356"/>
      <c r="I34" s="73"/>
      <c r="J34" s="73"/>
      <c r="K34" s="357"/>
      <c r="L34" s="358"/>
      <c r="M34" s="358"/>
      <c r="N34" s="258"/>
      <c r="O34" s="258"/>
    </row>
    <row r="35" spans="1:15" ht="14.15" customHeight="1" x14ac:dyDescent="0.3">
      <c r="A35" s="359">
        <v>2.7</v>
      </c>
      <c r="B35" s="360"/>
      <c r="C35" s="255"/>
      <c r="D35" s="58" t="s">
        <v>114</v>
      </c>
      <c r="E35" s="56"/>
      <c r="F35" s="57"/>
      <c r="G35" s="361"/>
      <c r="H35" s="361"/>
      <c r="I35" s="56"/>
      <c r="J35" s="56"/>
      <c r="K35" s="362"/>
      <c r="L35" s="363"/>
      <c r="M35" s="363"/>
      <c r="N35" s="258"/>
      <c r="O35" s="258"/>
    </row>
    <row r="36" spans="1:15" ht="28" customHeight="1" x14ac:dyDescent="0.3">
      <c r="A36" s="370" t="s">
        <v>115</v>
      </c>
      <c r="B36" s="444" t="s">
        <v>116</v>
      </c>
      <c r="C36" s="7" t="s">
        <v>90</v>
      </c>
      <c r="D36" s="7">
        <v>0</v>
      </c>
      <c r="E36" s="37">
        <f>13501.37*1.2</f>
        <v>16201.644</v>
      </c>
      <c r="F36" s="41">
        <v>0.2</v>
      </c>
      <c r="G36" s="348">
        <f>E36/(1-F36)</f>
        <v>20252.055</v>
      </c>
      <c r="H36" s="371">
        <f>250*2</f>
        <v>500</v>
      </c>
      <c r="I36" s="83">
        <v>0.15</v>
      </c>
      <c r="J36" s="79">
        <f>H36*(1+I36)</f>
        <v>575</v>
      </c>
      <c r="K36" s="349">
        <f>J36*D36</f>
        <v>0</v>
      </c>
      <c r="L36" s="350">
        <f>G36+J36</f>
        <v>20827.055</v>
      </c>
      <c r="M36" s="351">
        <f>D36*L36</f>
        <v>0</v>
      </c>
      <c r="N36" s="258"/>
      <c r="O36" s="258"/>
    </row>
    <row r="37" spans="1:15" ht="28.5" customHeight="1" thickBot="1" x14ac:dyDescent="0.35">
      <c r="A37" s="381" t="s">
        <v>117</v>
      </c>
      <c r="B37" s="446" t="s">
        <v>118</v>
      </c>
      <c r="C37" s="68" t="s">
        <v>90</v>
      </c>
      <c r="D37" s="68">
        <v>0</v>
      </c>
      <c r="E37" s="69">
        <f>13501.37*1.2</f>
        <v>16201.644</v>
      </c>
      <c r="F37" s="52">
        <v>0.2</v>
      </c>
      <c r="G37" s="376">
        <f>E37/(1-F37)</f>
        <v>20252.055</v>
      </c>
      <c r="H37" s="377">
        <f>250*2</f>
        <v>500</v>
      </c>
      <c r="I37" s="83">
        <v>0.15</v>
      </c>
      <c r="J37" s="79">
        <f>H37*(1+I37)</f>
        <v>575</v>
      </c>
      <c r="K37" s="382">
        <f>J37*D37</f>
        <v>0</v>
      </c>
      <c r="L37" s="350">
        <f>G37+J37</f>
        <v>20827.055</v>
      </c>
      <c r="M37" s="378">
        <f>D37*L37</f>
        <v>0</v>
      </c>
      <c r="N37" s="258"/>
      <c r="O37" s="258"/>
    </row>
    <row r="38" spans="1:15" ht="14.5" customHeight="1" thickBot="1" x14ac:dyDescent="0.35">
      <c r="A38" s="354"/>
      <c r="B38" s="441"/>
      <c r="C38" s="71"/>
      <c r="D38" s="72"/>
      <c r="E38" s="73"/>
      <c r="F38" s="74"/>
      <c r="G38" s="356"/>
      <c r="H38" s="356"/>
      <c r="I38" s="73"/>
      <c r="J38" s="73"/>
      <c r="K38" s="357"/>
      <c r="L38" s="358"/>
      <c r="M38" s="358"/>
      <c r="N38" s="258"/>
      <c r="O38" s="258"/>
    </row>
    <row r="39" spans="1:15" ht="16.5" customHeight="1" x14ac:dyDescent="0.3">
      <c r="A39" s="359">
        <v>2.8</v>
      </c>
      <c r="B39" s="360"/>
      <c r="C39" s="255"/>
      <c r="D39" s="58" t="s">
        <v>119</v>
      </c>
      <c r="E39" s="56"/>
      <c r="F39" s="57"/>
      <c r="G39" s="361"/>
      <c r="H39" s="361"/>
      <c r="I39" s="56"/>
      <c r="J39" s="56"/>
      <c r="K39" s="362"/>
      <c r="L39" s="363"/>
      <c r="M39" s="363"/>
      <c r="N39" s="258"/>
      <c r="O39" s="258"/>
    </row>
    <row r="40" spans="1:15" ht="16.5" customHeight="1" x14ac:dyDescent="0.3">
      <c r="A40" s="384"/>
      <c r="B40" s="342"/>
      <c r="C40" s="30"/>
      <c r="D40" s="1"/>
      <c r="E40" s="36"/>
      <c r="F40" s="41"/>
      <c r="G40" s="348"/>
      <c r="H40" s="348"/>
      <c r="I40" s="83"/>
      <c r="J40" s="79"/>
      <c r="K40" s="349"/>
      <c r="L40" s="350"/>
      <c r="M40" s="351"/>
      <c r="N40" s="258"/>
      <c r="O40" s="258"/>
    </row>
    <row r="41" spans="1:15" ht="14.15" customHeight="1" x14ac:dyDescent="0.3">
      <c r="A41" s="341" t="s">
        <v>120</v>
      </c>
      <c r="B41" s="385" t="s">
        <v>121</v>
      </c>
      <c r="C41" s="30" t="s">
        <v>90</v>
      </c>
      <c r="D41" s="1">
        <v>0</v>
      </c>
      <c r="E41" s="36">
        <v>2500</v>
      </c>
      <c r="F41" s="41">
        <v>0.2</v>
      </c>
      <c r="G41" s="348">
        <f>E41/(1-F41)</f>
        <v>3125</v>
      </c>
      <c r="H41" s="348">
        <f>(250+100)*4</f>
        <v>1400</v>
      </c>
      <c r="I41" s="83">
        <v>0.15</v>
      </c>
      <c r="J41" s="79">
        <f>H41*(1+I41)</f>
        <v>1609.9999999999998</v>
      </c>
      <c r="K41" s="349">
        <f>J41*D41</f>
        <v>0</v>
      </c>
      <c r="L41" s="350">
        <f>G41+J41</f>
        <v>4735</v>
      </c>
      <c r="M41" s="351">
        <f>D41*L41</f>
        <v>0</v>
      </c>
      <c r="N41" s="258"/>
      <c r="O41" s="258"/>
    </row>
    <row r="42" spans="1:15" ht="14.15" customHeight="1" x14ac:dyDescent="0.3">
      <c r="A42" s="341"/>
      <c r="B42" s="448"/>
      <c r="C42" s="27"/>
      <c r="D42" s="1"/>
      <c r="E42" s="36"/>
      <c r="F42" s="41"/>
      <c r="G42" s="348"/>
      <c r="H42" s="348"/>
      <c r="I42" s="79"/>
      <c r="J42" s="79"/>
      <c r="K42" s="349"/>
      <c r="L42" s="350"/>
      <c r="M42" s="351"/>
      <c r="N42" s="258"/>
      <c r="O42" s="258"/>
    </row>
    <row r="43" spans="1:15" ht="14.15" customHeight="1" x14ac:dyDescent="0.3">
      <c r="A43" s="341" t="s">
        <v>122</v>
      </c>
      <c r="B43" s="385" t="s">
        <v>123</v>
      </c>
      <c r="C43" s="30" t="s">
        <v>90</v>
      </c>
      <c r="D43" s="1">
        <v>0</v>
      </c>
      <c r="E43" s="36">
        <v>1800</v>
      </c>
      <c r="F43" s="41">
        <v>0.2</v>
      </c>
      <c r="G43" s="348">
        <f>E43/(1-F43)</f>
        <v>2250</v>
      </c>
      <c r="H43" s="348">
        <f>(250+100)*4</f>
        <v>1400</v>
      </c>
      <c r="I43" s="83">
        <v>0.15</v>
      </c>
      <c r="J43" s="79">
        <f>H43*(1+I43)</f>
        <v>1609.9999999999998</v>
      </c>
      <c r="K43" s="349">
        <f>J43*D43</f>
        <v>0</v>
      </c>
      <c r="L43" s="350">
        <f>G43+J43</f>
        <v>3860</v>
      </c>
      <c r="M43" s="351">
        <f>D43*L43</f>
        <v>0</v>
      </c>
      <c r="N43" s="258"/>
      <c r="O43" s="258"/>
    </row>
    <row r="44" spans="1:15" ht="14.15" customHeight="1" x14ac:dyDescent="0.3">
      <c r="A44" s="341"/>
      <c r="B44" s="385"/>
      <c r="C44" s="30"/>
      <c r="D44" s="1"/>
      <c r="E44" s="36"/>
      <c r="F44" s="41"/>
      <c r="G44" s="348"/>
      <c r="H44" s="348"/>
      <c r="I44" s="79"/>
      <c r="J44" s="79"/>
      <c r="K44" s="349"/>
      <c r="L44" s="350"/>
      <c r="M44" s="351"/>
      <c r="N44" s="258"/>
      <c r="O44" s="258"/>
    </row>
    <row r="45" spans="1:15" ht="14.15" customHeight="1" x14ac:dyDescent="0.3">
      <c r="A45" s="341" t="s">
        <v>124</v>
      </c>
      <c r="B45" s="385" t="s">
        <v>125</v>
      </c>
      <c r="C45" s="30" t="s">
        <v>90</v>
      </c>
      <c r="D45" s="1">
        <f>4 + N("2 Isolator + 2 CB")</f>
        <v>4</v>
      </c>
      <c r="E45" s="36">
        <f>550*1.2</f>
        <v>660</v>
      </c>
      <c r="F45" s="41">
        <v>0.2</v>
      </c>
      <c r="G45" s="348">
        <f>E45/(1-F45)</f>
        <v>825</v>
      </c>
      <c r="H45" s="348">
        <f>(250+100)*4</f>
        <v>1400</v>
      </c>
      <c r="I45" s="83">
        <v>0.15</v>
      </c>
      <c r="J45" s="79">
        <f>H45*(1+I45)</f>
        <v>1609.9999999999998</v>
      </c>
      <c r="K45" s="349">
        <f>J45*D45</f>
        <v>6439.9999999999991</v>
      </c>
      <c r="L45" s="350">
        <f>G45+J45</f>
        <v>2435</v>
      </c>
      <c r="M45" s="351">
        <f>D45*L45</f>
        <v>9740</v>
      </c>
      <c r="N45" s="258"/>
      <c r="O45" s="258"/>
    </row>
    <row r="46" spans="1:15" ht="14.15" customHeight="1" x14ac:dyDescent="0.3">
      <c r="A46" s="341"/>
      <c r="B46" s="387"/>
      <c r="C46" s="27"/>
      <c r="D46" s="1"/>
      <c r="E46" s="36"/>
      <c r="F46" s="41"/>
      <c r="G46" s="348"/>
      <c r="H46" s="348"/>
      <c r="I46" s="79"/>
      <c r="J46" s="79"/>
      <c r="K46" s="349"/>
      <c r="L46" s="350"/>
      <c r="M46" s="351"/>
      <c r="N46" s="258"/>
      <c r="O46" s="258"/>
    </row>
    <row r="47" spans="1:15" ht="14.5" customHeight="1" thickBot="1" x14ac:dyDescent="0.35">
      <c r="A47" s="381" t="s">
        <v>126</v>
      </c>
      <c r="B47" s="388" t="s">
        <v>127</v>
      </c>
      <c r="C47" s="49" t="s">
        <v>90</v>
      </c>
      <c r="D47" s="50">
        <v>1</v>
      </c>
      <c r="E47" s="51">
        <f>550*1.2</f>
        <v>660</v>
      </c>
      <c r="F47" s="52">
        <v>0.2</v>
      </c>
      <c r="G47" s="376">
        <f>E47/(1-F47)</f>
        <v>825</v>
      </c>
      <c r="H47" s="376">
        <f>(250+100)*4</f>
        <v>1400</v>
      </c>
      <c r="I47" s="83">
        <v>0.15</v>
      </c>
      <c r="J47" s="79">
        <f>H47*(1+I47)</f>
        <v>1609.9999999999998</v>
      </c>
      <c r="K47" s="349">
        <f>J47*D47</f>
        <v>1609.9999999999998</v>
      </c>
      <c r="L47" s="350">
        <f>G47+J47</f>
        <v>2435</v>
      </c>
      <c r="M47" s="378">
        <f>D47*L47</f>
        <v>2435</v>
      </c>
      <c r="N47" s="258"/>
      <c r="O47" s="258"/>
    </row>
    <row r="48" spans="1:15" ht="14.5" customHeight="1" thickBot="1" x14ac:dyDescent="0.35">
      <c r="A48" s="354"/>
      <c r="B48" s="441"/>
      <c r="C48" s="71"/>
      <c r="D48" s="72"/>
      <c r="E48" s="73"/>
      <c r="F48" s="74"/>
      <c r="G48" s="356"/>
      <c r="H48" s="356"/>
      <c r="I48" s="73"/>
      <c r="J48" s="73"/>
      <c r="K48" s="357"/>
      <c r="L48" s="358"/>
      <c r="M48" s="358"/>
      <c r="N48" s="258"/>
      <c r="O48" s="258"/>
    </row>
    <row r="49" spans="1:15" ht="16.5" customHeight="1" x14ac:dyDescent="0.3">
      <c r="A49" s="359">
        <v>2.9</v>
      </c>
      <c r="B49" s="367"/>
      <c r="C49" s="255"/>
      <c r="D49" s="58" t="s">
        <v>128</v>
      </c>
      <c r="E49" s="56"/>
      <c r="F49" s="57"/>
      <c r="G49" s="361"/>
      <c r="H49" s="361"/>
      <c r="I49" s="56"/>
      <c r="J49" s="56"/>
      <c r="K49" s="362"/>
      <c r="L49" s="363"/>
      <c r="M49" s="363"/>
      <c r="N49" s="258"/>
      <c r="O49" s="258"/>
    </row>
    <row r="50" spans="1:15" ht="16.5" customHeight="1" x14ac:dyDescent="0.3">
      <c r="A50" s="341"/>
      <c r="B50" s="342"/>
      <c r="C50" s="30"/>
      <c r="D50" s="1"/>
      <c r="E50" s="36"/>
      <c r="F50" s="41"/>
      <c r="G50" s="348"/>
      <c r="H50" s="348"/>
      <c r="I50" s="79"/>
      <c r="J50" s="79"/>
      <c r="K50" s="349"/>
      <c r="L50" s="350"/>
      <c r="M50" s="351"/>
      <c r="N50" s="258"/>
      <c r="O50" s="258"/>
    </row>
    <row r="51" spans="1:15" ht="14.15" customHeight="1" x14ac:dyDescent="0.3">
      <c r="A51" s="341" t="s">
        <v>129</v>
      </c>
      <c r="B51" s="385" t="s">
        <v>130</v>
      </c>
      <c r="C51" s="30" t="s">
        <v>85</v>
      </c>
      <c r="D51" s="1">
        <v>0</v>
      </c>
      <c r="E51" s="36">
        <v>2500</v>
      </c>
      <c r="F51" s="41">
        <v>0.2</v>
      </c>
      <c r="G51" s="348">
        <f>E51/(1-F51)</f>
        <v>3125</v>
      </c>
      <c r="H51" s="348">
        <f>250*1</f>
        <v>250</v>
      </c>
      <c r="I51" s="83">
        <v>0.15</v>
      </c>
      <c r="J51" s="79">
        <f>H51*(1+I51)</f>
        <v>287.5</v>
      </c>
      <c r="K51" s="349">
        <f>J51*D51</f>
        <v>0</v>
      </c>
      <c r="L51" s="350">
        <f>G51+J51</f>
        <v>3412.5</v>
      </c>
      <c r="M51" s="351">
        <f>D51*L51</f>
        <v>0</v>
      </c>
      <c r="N51" s="258"/>
      <c r="O51" s="258"/>
    </row>
    <row r="52" spans="1:15" ht="14.15" customHeight="1" x14ac:dyDescent="0.3">
      <c r="A52" s="341"/>
      <c r="B52" s="385"/>
      <c r="C52" s="30"/>
      <c r="D52" s="1"/>
      <c r="E52" s="36"/>
      <c r="F52" s="41"/>
      <c r="G52" s="348"/>
      <c r="H52" s="348"/>
      <c r="I52" s="79"/>
      <c r="J52" s="79"/>
      <c r="K52" s="349"/>
      <c r="L52" s="350"/>
      <c r="M52" s="351"/>
      <c r="N52" s="258"/>
      <c r="O52" s="258"/>
    </row>
    <row r="53" spans="1:15" ht="14.15" customHeight="1" x14ac:dyDescent="0.3">
      <c r="A53" s="341" t="s">
        <v>131</v>
      </c>
      <c r="B53" s="385" t="s">
        <v>132</v>
      </c>
      <c r="C53" s="30" t="s">
        <v>85</v>
      </c>
      <c r="D53" s="1">
        <f>3 + N("AC in&amp;out with db for circuits split")</f>
        <v>3</v>
      </c>
      <c r="E53" s="36">
        <v>5729</v>
      </c>
      <c r="F53" s="41">
        <v>0.2</v>
      </c>
      <c r="G53" s="348">
        <f>E53/(1-F53)</f>
        <v>7161.25</v>
      </c>
      <c r="H53" s="348">
        <v>250</v>
      </c>
      <c r="I53" s="83">
        <v>0.15</v>
      </c>
      <c r="J53" s="79">
        <f>H53*(1+I53)</f>
        <v>287.5</v>
      </c>
      <c r="K53" s="349">
        <f>J53*D53</f>
        <v>862.5</v>
      </c>
      <c r="L53" s="350">
        <f>G53+J53</f>
        <v>7448.75</v>
      </c>
      <c r="M53" s="351">
        <f>D53*L53</f>
        <v>22346.25</v>
      </c>
      <c r="N53" s="258"/>
      <c r="O53" s="258"/>
    </row>
    <row r="54" spans="1:15" ht="14.15" customHeight="1" x14ac:dyDescent="0.3">
      <c r="A54" s="341"/>
      <c r="B54" s="387"/>
      <c r="C54" s="27"/>
      <c r="D54" s="1"/>
      <c r="E54" s="36"/>
      <c r="F54" s="41"/>
      <c r="G54" s="348"/>
      <c r="H54" s="348"/>
      <c r="I54" s="79"/>
      <c r="J54" s="79"/>
      <c r="K54" s="349"/>
      <c r="L54" s="350"/>
      <c r="M54" s="351"/>
      <c r="N54" s="258"/>
      <c r="O54" s="258"/>
    </row>
    <row r="55" spans="1:15" ht="14.15" customHeight="1" x14ac:dyDescent="0.3">
      <c r="A55" s="341" t="s">
        <v>133</v>
      </c>
      <c r="B55" s="387" t="s">
        <v>134</v>
      </c>
      <c r="C55" s="30" t="s">
        <v>85</v>
      </c>
      <c r="D55" s="1">
        <v>1</v>
      </c>
      <c r="E55" s="36">
        <f>5729</f>
        <v>5729</v>
      </c>
      <c r="F55" s="41">
        <v>0.2</v>
      </c>
      <c r="G55" s="348">
        <f>E55/(1-F55)</f>
        <v>7161.25</v>
      </c>
      <c r="H55" s="348">
        <v>250</v>
      </c>
      <c r="I55" s="83">
        <v>0.15</v>
      </c>
      <c r="J55" s="79">
        <f>H55*(1+I55)</f>
        <v>287.5</v>
      </c>
      <c r="K55" s="349">
        <f>J55*D55</f>
        <v>287.5</v>
      </c>
      <c r="L55" s="350">
        <f>G55+J55</f>
        <v>7448.75</v>
      </c>
      <c r="M55" s="351">
        <f>D55*L55</f>
        <v>7448.75</v>
      </c>
      <c r="N55" s="258"/>
      <c r="O55" s="258"/>
    </row>
    <row r="56" spans="1:15" ht="14.15" customHeight="1" x14ac:dyDescent="0.3">
      <c r="A56" s="341"/>
      <c r="B56" s="387"/>
      <c r="C56" s="29"/>
      <c r="D56" s="1"/>
      <c r="E56" s="36"/>
      <c r="F56" s="41"/>
      <c r="G56" s="348"/>
      <c r="H56" s="348"/>
      <c r="I56" s="79"/>
      <c r="J56" s="79"/>
      <c r="K56" s="349"/>
      <c r="L56" s="350"/>
      <c r="M56" s="351"/>
      <c r="N56" s="258"/>
      <c r="O56" s="258"/>
    </row>
    <row r="57" spans="1:15" ht="28" customHeight="1" x14ac:dyDescent="0.3">
      <c r="A57" s="341" t="s">
        <v>135</v>
      </c>
      <c r="B57" s="385" t="s">
        <v>136</v>
      </c>
      <c r="C57" s="248" t="s">
        <v>85</v>
      </c>
      <c r="D57" s="1">
        <v>2</v>
      </c>
      <c r="E57" s="36">
        <v>350</v>
      </c>
      <c r="F57" s="41">
        <v>0.2</v>
      </c>
      <c r="G57" s="348">
        <f>E57/(1-F57)</f>
        <v>437.5</v>
      </c>
      <c r="H57" s="348">
        <v>250</v>
      </c>
      <c r="I57" s="83">
        <v>0.15</v>
      </c>
      <c r="J57" s="79">
        <f>H57*(1+I57)</f>
        <v>287.5</v>
      </c>
      <c r="K57" s="349">
        <f>J57*D57</f>
        <v>575</v>
      </c>
      <c r="L57" s="350">
        <f>G57+J57</f>
        <v>725</v>
      </c>
      <c r="M57" s="351">
        <f>D57*L57</f>
        <v>1450</v>
      </c>
      <c r="N57" s="258"/>
      <c r="O57" s="258"/>
    </row>
    <row r="58" spans="1:15" ht="14.15" customHeight="1" x14ac:dyDescent="0.3">
      <c r="A58" s="341"/>
      <c r="B58" s="387"/>
      <c r="C58" s="27"/>
      <c r="D58" s="1"/>
      <c r="E58" s="36"/>
      <c r="F58" s="41"/>
      <c r="G58" s="348"/>
      <c r="H58" s="348"/>
      <c r="I58" s="79"/>
      <c r="J58" s="79"/>
      <c r="K58" s="349"/>
      <c r="L58" s="350"/>
      <c r="M58" s="351"/>
      <c r="N58" s="258"/>
      <c r="O58" s="258"/>
    </row>
    <row r="59" spans="1:15" ht="14.15" customHeight="1" x14ac:dyDescent="0.3">
      <c r="A59" s="341" t="s">
        <v>137</v>
      </c>
      <c r="B59" s="385" t="s">
        <v>138</v>
      </c>
      <c r="C59" s="248" t="s">
        <v>108</v>
      </c>
      <c r="D59" s="1">
        <v>20</v>
      </c>
      <c r="E59" s="36">
        <f>35</f>
        <v>35</v>
      </c>
      <c r="F59" s="41">
        <v>0.2</v>
      </c>
      <c r="G59" s="348">
        <f>E59/(1-F59)</f>
        <v>43.75</v>
      </c>
      <c r="H59" s="348">
        <f>(65*3)</f>
        <v>195</v>
      </c>
      <c r="I59" s="83">
        <v>0.15</v>
      </c>
      <c r="J59" s="79">
        <f>H59*(1+I59)</f>
        <v>224.24999999999997</v>
      </c>
      <c r="K59" s="349">
        <f>J59*D59</f>
        <v>4484.9999999999991</v>
      </c>
      <c r="L59" s="350">
        <f>G59+J59</f>
        <v>268</v>
      </c>
      <c r="M59" s="351">
        <f>D59*L59</f>
        <v>5360</v>
      </c>
      <c r="N59" s="258"/>
      <c r="O59" s="258"/>
    </row>
    <row r="60" spans="1:15" ht="14.15" customHeight="1" x14ac:dyDescent="0.3">
      <c r="A60" s="341"/>
      <c r="B60" s="387"/>
      <c r="C60" s="29"/>
      <c r="D60" s="1"/>
      <c r="E60" s="36"/>
      <c r="F60" s="41"/>
      <c r="G60" s="348"/>
      <c r="H60" s="348"/>
      <c r="I60" s="79"/>
      <c r="J60" s="79"/>
      <c r="K60" s="349"/>
      <c r="L60" s="350"/>
      <c r="M60" s="351"/>
      <c r="N60" s="258"/>
      <c r="O60" s="258"/>
    </row>
    <row r="61" spans="1:15" ht="14.5" customHeight="1" thickBot="1" x14ac:dyDescent="0.35">
      <c r="A61" s="341" t="s">
        <v>139</v>
      </c>
      <c r="B61" s="385" t="s">
        <v>140</v>
      </c>
      <c r="C61" s="30" t="s">
        <v>42</v>
      </c>
      <c r="D61" s="1">
        <v>1</v>
      </c>
      <c r="E61" s="36">
        <v>1</v>
      </c>
      <c r="F61" s="41">
        <v>0.2</v>
      </c>
      <c r="G61" s="348">
        <f>E61/(1-F61)</f>
        <v>1.25</v>
      </c>
      <c r="H61" s="348">
        <f>2500*3</f>
        <v>7500</v>
      </c>
      <c r="I61" s="83">
        <v>0.15</v>
      </c>
      <c r="J61" s="79">
        <f>H61*(1+I61)</f>
        <v>8625</v>
      </c>
      <c r="K61" s="349">
        <f>J61*D61</f>
        <v>8625</v>
      </c>
      <c r="L61" s="350">
        <f>G61+J61</f>
        <v>8626.25</v>
      </c>
      <c r="M61" s="351">
        <f>D61*L61</f>
        <v>8626.25</v>
      </c>
      <c r="N61" s="258"/>
      <c r="O61" s="258"/>
    </row>
    <row r="62" spans="1:15" ht="14.5" customHeight="1" thickBot="1" x14ac:dyDescent="0.35">
      <c r="A62" s="354"/>
      <c r="B62" s="441"/>
      <c r="C62" s="71"/>
      <c r="D62" s="72"/>
      <c r="E62" s="73"/>
      <c r="F62" s="74"/>
      <c r="G62" s="356"/>
      <c r="H62" s="356"/>
      <c r="I62" s="73"/>
      <c r="J62" s="73"/>
      <c r="K62" s="357"/>
      <c r="L62" s="358"/>
      <c r="M62" s="358"/>
      <c r="N62" s="258"/>
      <c r="O62" s="258"/>
    </row>
    <row r="63" spans="1:15" ht="14.15" customHeight="1" x14ac:dyDescent="0.3">
      <c r="A63" s="389">
        <v>2.1</v>
      </c>
      <c r="B63" s="390"/>
      <c r="C63" s="251"/>
      <c r="D63" s="65" t="s">
        <v>141</v>
      </c>
      <c r="E63" s="53"/>
      <c r="F63" s="54"/>
      <c r="G63" s="391"/>
      <c r="H63" s="391"/>
      <c r="I63" s="53"/>
      <c r="J63" s="53"/>
      <c r="K63" s="392"/>
      <c r="L63" s="393"/>
      <c r="M63" s="393"/>
      <c r="N63" s="258"/>
      <c r="O63" s="258"/>
    </row>
    <row r="64" spans="1:15" ht="28" customHeight="1" x14ac:dyDescent="0.3">
      <c r="A64" s="370" t="s">
        <v>142</v>
      </c>
      <c r="B64" s="444" t="s">
        <v>143</v>
      </c>
      <c r="C64" s="7" t="s">
        <v>85</v>
      </c>
      <c r="D64" s="7">
        <f>2 + N("1 for inverter and battery")</f>
        <v>2</v>
      </c>
      <c r="E64" s="37">
        <v>10000</v>
      </c>
      <c r="F64" s="41">
        <v>0.16</v>
      </c>
      <c r="G64" s="348">
        <f>E64/(1-F64)</f>
        <v>11904.761904761905</v>
      </c>
      <c r="H64" s="371">
        <v>200</v>
      </c>
      <c r="I64" s="83">
        <v>0.15</v>
      </c>
      <c r="J64" s="79">
        <f>H64*(1+I64)</f>
        <v>229.99999999999997</v>
      </c>
      <c r="K64" s="349">
        <f>J64*D64</f>
        <v>459.99999999999994</v>
      </c>
      <c r="L64" s="350">
        <f>G64+J64</f>
        <v>12134.761904761905</v>
      </c>
      <c r="M64" s="351">
        <f>D64*L64</f>
        <v>24269.523809523809</v>
      </c>
      <c r="N64" s="258"/>
      <c r="O64" s="258"/>
    </row>
    <row r="65" spans="1:15" ht="14.15" customHeight="1" x14ac:dyDescent="0.3">
      <c r="A65" s="394"/>
      <c r="B65" s="395"/>
      <c r="C65" s="30"/>
      <c r="D65" s="248"/>
      <c r="E65" s="36"/>
      <c r="F65" s="41"/>
      <c r="G65" s="348"/>
      <c r="H65" s="348"/>
      <c r="I65" s="79"/>
      <c r="J65" s="79"/>
      <c r="K65" s="349"/>
      <c r="L65" s="350"/>
      <c r="M65" s="351"/>
      <c r="N65" s="258"/>
      <c r="O65" s="258"/>
    </row>
    <row r="66" spans="1:15" ht="28.5" customHeight="1" thickBot="1" x14ac:dyDescent="0.35">
      <c r="A66" s="396" t="s">
        <v>144</v>
      </c>
      <c r="B66" s="446" t="s">
        <v>145</v>
      </c>
      <c r="C66" s="68" t="s">
        <v>85</v>
      </c>
      <c r="D66" s="68">
        <v>0</v>
      </c>
      <c r="E66" s="69">
        <v>7500</v>
      </c>
      <c r="F66" s="52">
        <v>0.16</v>
      </c>
      <c r="G66" s="376">
        <f>E66/(1-F66)</f>
        <v>8928.5714285714294</v>
      </c>
      <c r="H66" s="377">
        <v>200</v>
      </c>
      <c r="I66" s="83">
        <v>0.15</v>
      </c>
      <c r="J66" s="79">
        <f>H66*(1+I66)</f>
        <v>229.99999999999997</v>
      </c>
      <c r="K66" s="382">
        <f>J66*D66</f>
        <v>0</v>
      </c>
      <c r="L66" s="350">
        <f>G66+J66</f>
        <v>9158.5714285714294</v>
      </c>
      <c r="M66" s="378">
        <f>D66*L66</f>
        <v>0</v>
      </c>
      <c r="N66" s="258"/>
      <c r="O66" s="258"/>
    </row>
    <row r="67" spans="1:15" ht="14.5" customHeight="1" thickBot="1" x14ac:dyDescent="0.35">
      <c r="A67" s="397"/>
      <c r="B67" s="449"/>
      <c r="C67" s="71"/>
      <c r="D67" s="72"/>
      <c r="E67" s="73"/>
      <c r="F67" s="74"/>
      <c r="G67" s="356"/>
      <c r="H67" s="356"/>
      <c r="I67" s="73"/>
      <c r="J67" s="73"/>
      <c r="K67" s="357"/>
      <c r="L67" s="358"/>
      <c r="M67" s="358"/>
      <c r="N67" s="258"/>
      <c r="O67" s="258"/>
    </row>
    <row r="68" spans="1:15" ht="14.15" customHeight="1" x14ac:dyDescent="0.3">
      <c r="A68" s="359">
        <v>2.11</v>
      </c>
      <c r="B68" s="450"/>
      <c r="C68" s="75"/>
      <c r="D68" s="58" t="s">
        <v>146</v>
      </c>
      <c r="E68" s="56"/>
      <c r="F68" s="57"/>
      <c r="G68" s="361"/>
      <c r="H68" s="361"/>
      <c r="I68" s="56"/>
      <c r="J68" s="56"/>
      <c r="K68" s="362"/>
      <c r="L68" s="363"/>
      <c r="M68" s="363"/>
      <c r="N68" s="258"/>
      <c r="O68" s="258"/>
    </row>
    <row r="69" spans="1:15" ht="14.15" customHeight="1" x14ac:dyDescent="0.3">
      <c r="A69" s="341"/>
      <c r="B69" s="444"/>
      <c r="C69" s="70"/>
      <c r="D69" s="1"/>
      <c r="E69" s="36"/>
      <c r="F69" s="41"/>
      <c r="G69" s="348"/>
      <c r="H69" s="348"/>
      <c r="I69" s="79"/>
      <c r="J69" s="79"/>
      <c r="K69" s="349"/>
      <c r="L69" s="350"/>
      <c r="M69" s="351"/>
      <c r="N69" s="258"/>
      <c r="O69" s="258"/>
    </row>
    <row r="70" spans="1:15" ht="14.15" customHeight="1" x14ac:dyDescent="0.3">
      <c r="A70" s="341"/>
      <c r="B70" s="443" t="s">
        <v>147</v>
      </c>
      <c r="C70" s="27"/>
      <c r="D70" s="1"/>
      <c r="E70" s="36"/>
      <c r="F70" s="41"/>
      <c r="G70" s="348"/>
      <c r="H70" s="348"/>
      <c r="I70" s="79"/>
      <c r="J70" s="79"/>
      <c r="K70" s="349"/>
      <c r="L70" s="350"/>
      <c r="M70" s="351"/>
      <c r="N70" s="258"/>
      <c r="O70" s="258"/>
    </row>
    <row r="71" spans="1:15" ht="14.15" customHeight="1" x14ac:dyDescent="0.3">
      <c r="A71" s="341"/>
      <c r="B71" s="448"/>
      <c r="C71" s="27"/>
      <c r="D71" s="1"/>
      <c r="E71" s="36"/>
      <c r="F71" s="41"/>
      <c r="G71" s="348"/>
      <c r="H71" s="348"/>
      <c r="I71" s="79"/>
      <c r="J71" s="79"/>
      <c r="K71" s="349"/>
      <c r="L71" s="350"/>
      <c r="M71" s="351"/>
      <c r="N71" s="258"/>
      <c r="O71" s="258"/>
    </row>
    <row r="72" spans="1:15" ht="42" customHeight="1" x14ac:dyDescent="0.3">
      <c r="A72" s="341"/>
      <c r="B72" s="448" t="s">
        <v>148</v>
      </c>
      <c r="C72" s="27"/>
      <c r="D72" s="248"/>
      <c r="E72" s="36"/>
      <c r="F72" s="41"/>
      <c r="G72" s="348"/>
      <c r="H72" s="348"/>
      <c r="I72" s="79"/>
      <c r="J72" s="79"/>
      <c r="K72" s="349"/>
      <c r="L72" s="350"/>
      <c r="M72" s="351"/>
      <c r="N72" s="258"/>
      <c r="O72" s="258"/>
    </row>
    <row r="73" spans="1:15" ht="14.15" customHeight="1" x14ac:dyDescent="0.3">
      <c r="A73" s="384"/>
      <c r="B73" s="443"/>
      <c r="C73" s="27"/>
      <c r="D73" s="28"/>
      <c r="E73" s="38"/>
      <c r="F73" s="41"/>
      <c r="G73" s="348"/>
      <c r="H73" s="400"/>
      <c r="I73" s="81"/>
      <c r="J73" s="81"/>
      <c r="K73" s="349"/>
      <c r="L73" s="350"/>
      <c r="M73" s="351"/>
      <c r="N73" s="258"/>
      <c r="O73" s="258"/>
    </row>
    <row r="74" spans="1:15" ht="14.15" customHeight="1" x14ac:dyDescent="0.3">
      <c r="A74" s="341" t="s">
        <v>149</v>
      </c>
      <c r="B74" s="443" t="s">
        <v>150</v>
      </c>
      <c r="C74" s="27" t="s">
        <v>108</v>
      </c>
      <c r="D74" s="1">
        <v>0</v>
      </c>
      <c r="E74" s="36">
        <v>947.75</v>
      </c>
      <c r="F74" s="41">
        <v>0.25</v>
      </c>
      <c r="G74" s="348">
        <f t="shared" ref="G74:G79" si="0">E74/(1-F74)</f>
        <v>1263.6666666666667</v>
      </c>
      <c r="H74" s="348">
        <v>25</v>
      </c>
      <c r="I74" s="83">
        <v>0.15</v>
      </c>
      <c r="J74" s="79">
        <f t="shared" ref="J74:J79" si="1">H74*(1+I74)</f>
        <v>28.749999999999996</v>
      </c>
      <c r="K74" s="349">
        <f t="shared" ref="K74:K79" si="2">J74*D74</f>
        <v>0</v>
      </c>
      <c r="L74" s="350">
        <f t="shared" ref="L74:L79" si="3">G74+J74</f>
        <v>1292.4166666666667</v>
      </c>
      <c r="M74" s="351">
        <f t="shared" ref="M74:M79" si="4">D74*L74</f>
        <v>0</v>
      </c>
      <c r="N74" s="258"/>
      <c r="O74" s="258"/>
    </row>
    <row r="75" spans="1:15" ht="14.15" customHeight="1" x14ac:dyDescent="0.3">
      <c r="A75" s="341" t="s">
        <v>151</v>
      </c>
      <c r="B75" s="443" t="s">
        <v>152</v>
      </c>
      <c r="C75" s="27" t="s">
        <v>108</v>
      </c>
      <c r="D75" s="1">
        <v>0</v>
      </c>
      <c r="E75" s="36">
        <v>686.12</v>
      </c>
      <c r="F75" s="41">
        <v>0.25</v>
      </c>
      <c r="G75" s="348">
        <f t="shared" si="0"/>
        <v>914.82666666666671</v>
      </c>
      <c r="H75" s="348">
        <v>25</v>
      </c>
      <c r="I75" s="83">
        <v>0.15</v>
      </c>
      <c r="J75" s="79">
        <f t="shared" si="1"/>
        <v>28.749999999999996</v>
      </c>
      <c r="K75" s="349">
        <f t="shared" si="2"/>
        <v>0</v>
      </c>
      <c r="L75" s="350">
        <f t="shared" si="3"/>
        <v>943.57666666666671</v>
      </c>
      <c r="M75" s="351">
        <f t="shared" si="4"/>
        <v>0</v>
      </c>
      <c r="N75" s="258"/>
      <c r="O75" s="258"/>
    </row>
    <row r="76" spans="1:15" ht="14.15" customHeight="1" x14ac:dyDescent="0.3">
      <c r="A76" s="341" t="s">
        <v>153</v>
      </c>
      <c r="B76" s="443" t="s">
        <v>154</v>
      </c>
      <c r="C76" s="27" t="s">
        <v>108</v>
      </c>
      <c r="D76" s="1">
        <v>0</v>
      </c>
      <c r="E76" s="36">
        <v>538.9</v>
      </c>
      <c r="F76" s="41">
        <v>0.25</v>
      </c>
      <c r="G76" s="348">
        <f t="shared" si="0"/>
        <v>718.5333333333333</v>
      </c>
      <c r="H76" s="348">
        <v>25</v>
      </c>
      <c r="I76" s="83">
        <v>0.15</v>
      </c>
      <c r="J76" s="79">
        <f t="shared" si="1"/>
        <v>28.749999999999996</v>
      </c>
      <c r="K76" s="349">
        <f t="shared" si="2"/>
        <v>0</v>
      </c>
      <c r="L76" s="350">
        <f t="shared" si="3"/>
        <v>747.2833333333333</v>
      </c>
      <c r="M76" s="351">
        <f t="shared" si="4"/>
        <v>0</v>
      </c>
      <c r="N76" s="258"/>
      <c r="O76" s="258"/>
    </row>
    <row r="77" spans="1:15" ht="14.15" customHeight="1" x14ac:dyDescent="0.3">
      <c r="A77" s="341" t="s">
        <v>155</v>
      </c>
      <c r="B77" s="443" t="s">
        <v>156</v>
      </c>
      <c r="C77" s="29" t="s">
        <v>108</v>
      </c>
      <c r="D77" s="1">
        <v>0</v>
      </c>
      <c r="E77" s="36">
        <v>450</v>
      </c>
      <c r="F77" s="41">
        <v>0.25</v>
      </c>
      <c r="G77" s="348">
        <f t="shared" si="0"/>
        <v>600</v>
      </c>
      <c r="H77" s="348">
        <v>25</v>
      </c>
      <c r="I77" s="83">
        <v>0.15</v>
      </c>
      <c r="J77" s="79">
        <f t="shared" si="1"/>
        <v>28.749999999999996</v>
      </c>
      <c r="K77" s="349">
        <f t="shared" si="2"/>
        <v>0</v>
      </c>
      <c r="L77" s="350">
        <f t="shared" si="3"/>
        <v>628.75</v>
      </c>
      <c r="M77" s="351">
        <f t="shared" si="4"/>
        <v>0</v>
      </c>
      <c r="N77" s="258"/>
      <c r="O77" s="258"/>
    </row>
    <row r="78" spans="1:15" ht="14.15" customHeight="1" x14ac:dyDescent="0.3">
      <c r="A78" s="341" t="s">
        <v>157</v>
      </c>
      <c r="B78" s="443" t="s">
        <v>158</v>
      </c>
      <c r="C78" s="29" t="s">
        <v>108</v>
      </c>
      <c r="D78" s="1">
        <v>0</v>
      </c>
      <c r="E78" s="36">
        <v>380</v>
      </c>
      <c r="F78" s="41">
        <v>0.25</v>
      </c>
      <c r="G78" s="348">
        <f t="shared" si="0"/>
        <v>506.66666666666669</v>
      </c>
      <c r="H78" s="348">
        <v>25</v>
      </c>
      <c r="I78" s="83">
        <v>0.15</v>
      </c>
      <c r="J78" s="79">
        <f t="shared" si="1"/>
        <v>28.749999999999996</v>
      </c>
      <c r="K78" s="349">
        <f t="shared" si="2"/>
        <v>0</v>
      </c>
      <c r="L78" s="350">
        <f t="shared" si="3"/>
        <v>535.41666666666663</v>
      </c>
      <c r="M78" s="351">
        <f t="shared" si="4"/>
        <v>0</v>
      </c>
      <c r="N78" s="258"/>
      <c r="O78" s="258"/>
    </row>
    <row r="79" spans="1:15" ht="14.5" customHeight="1" thickBot="1" x14ac:dyDescent="0.35">
      <c r="A79" s="381" t="s">
        <v>159</v>
      </c>
      <c r="B79" s="446" t="s">
        <v>160</v>
      </c>
      <c r="C79" s="76" t="s">
        <v>108</v>
      </c>
      <c r="D79" s="50">
        <v>0</v>
      </c>
      <c r="E79" s="51">
        <f>215</f>
        <v>215</v>
      </c>
      <c r="F79" s="52">
        <v>0.25</v>
      </c>
      <c r="G79" s="376">
        <f t="shared" si="0"/>
        <v>286.66666666666669</v>
      </c>
      <c r="H79" s="376">
        <v>25</v>
      </c>
      <c r="I79" s="83">
        <v>0.15</v>
      </c>
      <c r="J79" s="79">
        <f t="shared" si="1"/>
        <v>28.749999999999996</v>
      </c>
      <c r="K79" s="349">
        <f t="shared" si="2"/>
        <v>0</v>
      </c>
      <c r="L79" s="350">
        <f t="shared" si="3"/>
        <v>315.41666666666669</v>
      </c>
      <c r="M79" s="378">
        <f t="shared" si="4"/>
        <v>0</v>
      </c>
      <c r="N79" s="258"/>
      <c r="O79" s="258"/>
    </row>
    <row r="80" spans="1:15" ht="14.5" customHeight="1" thickBot="1" x14ac:dyDescent="0.35">
      <c r="A80" s="397"/>
      <c r="B80" s="449"/>
      <c r="C80" s="71"/>
      <c r="D80" s="72"/>
      <c r="E80" s="73"/>
      <c r="F80" s="74"/>
      <c r="G80" s="356"/>
      <c r="H80" s="356"/>
      <c r="I80" s="73"/>
      <c r="J80" s="73"/>
      <c r="K80" s="357"/>
      <c r="L80" s="358"/>
      <c r="M80" s="358"/>
      <c r="N80" s="258"/>
      <c r="O80" s="258"/>
    </row>
    <row r="81" spans="1:15" ht="14.15" customHeight="1" x14ac:dyDescent="0.3">
      <c r="A81" s="359">
        <v>2.12</v>
      </c>
      <c r="B81" s="450"/>
      <c r="C81" s="75"/>
      <c r="D81" s="58" t="s">
        <v>161</v>
      </c>
      <c r="E81" s="56"/>
      <c r="F81" s="57"/>
      <c r="G81" s="361"/>
      <c r="H81" s="361"/>
      <c r="I81" s="56"/>
      <c r="J81" s="56"/>
      <c r="K81" s="362"/>
      <c r="L81" s="363"/>
      <c r="M81" s="363"/>
      <c r="N81" s="258"/>
      <c r="O81" s="258"/>
    </row>
    <row r="82" spans="1:15" ht="14.15" customHeight="1" x14ac:dyDescent="0.3">
      <c r="A82" s="341"/>
      <c r="B82" s="444"/>
      <c r="C82" s="29"/>
      <c r="D82" s="1"/>
      <c r="E82" s="36"/>
      <c r="F82" s="41"/>
      <c r="G82" s="348"/>
      <c r="H82" s="348"/>
      <c r="I82" s="79"/>
      <c r="J82" s="79"/>
      <c r="K82" s="349"/>
      <c r="L82" s="350"/>
      <c r="M82" s="351"/>
      <c r="N82" s="258"/>
      <c r="O82" s="258"/>
    </row>
    <row r="83" spans="1:15" ht="14.15" customHeight="1" x14ac:dyDescent="0.3">
      <c r="A83" s="341" t="s">
        <v>162</v>
      </c>
      <c r="B83" s="443" t="s">
        <v>163</v>
      </c>
      <c r="C83" s="29" t="s">
        <v>108</v>
      </c>
      <c r="D83" s="1">
        <v>0</v>
      </c>
      <c r="E83" s="36">
        <v>109.45</v>
      </c>
      <c r="F83" s="41">
        <v>0.2</v>
      </c>
      <c r="G83" s="348">
        <f>E83/(1-F83)</f>
        <v>136.8125</v>
      </c>
      <c r="H83" s="348">
        <v>50</v>
      </c>
      <c r="I83" s="83">
        <v>0.15</v>
      </c>
      <c r="J83" s="79">
        <f>H83*(1+I83)</f>
        <v>57.499999999999993</v>
      </c>
      <c r="K83" s="349">
        <f>J83*D83</f>
        <v>0</v>
      </c>
      <c r="L83" s="350">
        <f>G83+J83</f>
        <v>194.3125</v>
      </c>
      <c r="M83" s="351">
        <f>D83*L83</f>
        <v>0</v>
      </c>
      <c r="N83" s="258"/>
      <c r="O83" s="258"/>
    </row>
    <row r="84" spans="1:15" ht="14.15" customHeight="1" x14ac:dyDescent="0.3">
      <c r="A84" s="341"/>
      <c r="B84" s="443" t="s">
        <v>164</v>
      </c>
      <c r="C84" s="29" t="s">
        <v>108</v>
      </c>
      <c r="D84" s="1">
        <v>0</v>
      </c>
      <c r="E84" s="36">
        <v>70.599999999999994</v>
      </c>
      <c r="F84" s="41">
        <v>0.2</v>
      </c>
      <c r="G84" s="348">
        <f>E84/(1-F84)</f>
        <v>88.249999999999986</v>
      </c>
      <c r="H84" s="348">
        <v>50</v>
      </c>
      <c r="I84" s="83">
        <v>0.15</v>
      </c>
      <c r="J84" s="79">
        <f>H84*(1+I84)</f>
        <v>57.499999999999993</v>
      </c>
      <c r="K84" s="349">
        <f>J84*D84</f>
        <v>0</v>
      </c>
      <c r="L84" s="350">
        <f>G84+J84</f>
        <v>145.74999999999997</v>
      </c>
      <c r="M84" s="351">
        <f>D84*L84</f>
        <v>0</v>
      </c>
      <c r="N84" s="258"/>
      <c r="O84" s="258"/>
    </row>
    <row r="85" spans="1:15" ht="14.5" customHeight="1" thickBot="1" x14ac:dyDescent="0.35">
      <c r="A85" s="381"/>
      <c r="B85" s="446" t="s">
        <v>165</v>
      </c>
      <c r="C85" s="76" t="s">
        <v>108</v>
      </c>
      <c r="D85" s="50">
        <v>6</v>
      </c>
      <c r="E85" s="51">
        <v>22.91</v>
      </c>
      <c r="F85" s="52">
        <v>0.2</v>
      </c>
      <c r="G85" s="376">
        <f>E85/(1-F85)</f>
        <v>28.637499999999999</v>
      </c>
      <c r="H85" s="376">
        <v>50</v>
      </c>
      <c r="I85" s="83">
        <v>0.15</v>
      </c>
      <c r="J85" s="79">
        <f>H85*(1+I85)</f>
        <v>57.499999999999993</v>
      </c>
      <c r="K85" s="349">
        <f>J85*D85</f>
        <v>344.99999999999994</v>
      </c>
      <c r="L85" s="350">
        <f>G85+J85</f>
        <v>86.137499999999989</v>
      </c>
      <c r="M85" s="378">
        <f>D85*L85</f>
        <v>516.82499999999993</v>
      </c>
      <c r="N85" s="258"/>
      <c r="O85" s="258"/>
    </row>
    <row r="86" spans="1:15" ht="14.5" customHeight="1" thickBot="1" x14ac:dyDescent="0.35">
      <c r="A86" s="397"/>
      <c r="B86" s="449"/>
      <c r="C86" s="71"/>
      <c r="D86" s="72"/>
      <c r="E86" s="73"/>
      <c r="F86" s="74"/>
      <c r="G86" s="356"/>
      <c r="H86" s="356"/>
      <c r="I86" s="73"/>
      <c r="J86" s="73"/>
      <c r="K86" s="357"/>
      <c r="L86" s="358"/>
      <c r="M86" s="358"/>
      <c r="N86" s="258"/>
      <c r="O86" s="258"/>
    </row>
    <row r="87" spans="1:15" ht="14.15" customHeight="1" x14ac:dyDescent="0.3">
      <c r="A87" s="359">
        <v>2.13</v>
      </c>
      <c r="B87" s="450"/>
      <c r="C87" s="75"/>
      <c r="D87" s="58" t="s">
        <v>166</v>
      </c>
      <c r="E87" s="56"/>
      <c r="F87" s="57"/>
      <c r="G87" s="361"/>
      <c r="H87" s="361"/>
      <c r="I87" s="56"/>
      <c r="J87" s="56"/>
      <c r="K87" s="362"/>
      <c r="L87" s="363"/>
      <c r="M87" s="363"/>
      <c r="N87" s="258"/>
      <c r="O87" s="258"/>
    </row>
    <row r="88" spans="1:15" ht="14.15" customHeight="1" x14ac:dyDescent="0.3">
      <c r="A88" s="341"/>
      <c r="B88" s="444"/>
      <c r="C88" s="29"/>
      <c r="D88" s="1"/>
      <c r="E88" s="36"/>
      <c r="F88" s="41"/>
      <c r="G88" s="348"/>
      <c r="H88" s="348"/>
      <c r="I88" s="79"/>
      <c r="J88" s="79"/>
      <c r="K88" s="349"/>
      <c r="L88" s="350"/>
      <c r="M88" s="351"/>
      <c r="N88" s="258"/>
      <c r="O88" s="258"/>
    </row>
    <row r="89" spans="1:15" ht="14.15" customHeight="1" x14ac:dyDescent="0.3">
      <c r="A89" s="341" t="s">
        <v>167</v>
      </c>
      <c r="B89" s="443" t="s">
        <v>168</v>
      </c>
      <c r="C89" s="29" t="s">
        <v>108</v>
      </c>
      <c r="D89" s="1">
        <v>0</v>
      </c>
      <c r="E89" s="36">
        <v>25</v>
      </c>
      <c r="F89" s="41">
        <v>0.2</v>
      </c>
      <c r="G89" s="348">
        <f>E89/(1-F89)</f>
        <v>31.25</v>
      </c>
      <c r="H89" s="348"/>
      <c r="I89" s="83">
        <v>0.15</v>
      </c>
      <c r="J89" s="79">
        <f>H89*(1+I89)</f>
        <v>0</v>
      </c>
      <c r="K89" s="349">
        <f>J89*D89</f>
        <v>0</v>
      </c>
      <c r="L89" s="350">
        <f>G89+J89</f>
        <v>31.25</v>
      </c>
      <c r="M89" s="351">
        <f>D89*L89</f>
        <v>0</v>
      </c>
      <c r="N89" s="258"/>
      <c r="O89" s="258"/>
    </row>
    <row r="90" spans="1:15" ht="14.15" customHeight="1" x14ac:dyDescent="0.3">
      <c r="A90" s="341" t="s">
        <v>169</v>
      </c>
      <c r="B90" s="443" t="s">
        <v>170</v>
      </c>
      <c r="C90" s="29" t="s">
        <v>108</v>
      </c>
      <c r="D90" s="1">
        <v>0</v>
      </c>
      <c r="E90" s="36">
        <v>33</v>
      </c>
      <c r="F90" s="41">
        <v>0.2</v>
      </c>
      <c r="G90" s="348">
        <f>E90/(1-F90)</f>
        <v>41.25</v>
      </c>
      <c r="H90" s="348"/>
      <c r="I90" s="83">
        <v>0.15</v>
      </c>
      <c r="J90" s="79">
        <f>H90*(1+I90)</f>
        <v>0</v>
      </c>
      <c r="K90" s="349">
        <f>J90*D90</f>
        <v>0</v>
      </c>
      <c r="L90" s="350">
        <f>G90+J90</f>
        <v>41.25</v>
      </c>
      <c r="M90" s="351">
        <f>D90*L90</f>
        <v>0</v>
      </c>
      <c r="N90" s="258"/>
      <c r="O90" s="258"/>
    </row>
    <row r="91" spans="1:15" ht="14.15" customHeight="1" x14ac:dyDescent="0.3">
      <c r="A91" s="341" t="s">
        <v>171</v>
      </c>
      <c r="B91" s="451" t="s">
        <v>172</v>
      </c>
      <c r="C91" s="29" t="s">
        <v>108</v>
      </c>
      <c r="D91" s="1">
        <v>0</v>
      </c>
      <c r="E91" s="36">
        <v>37</v>
      </c>
      <c r="F91" s="41">
        <v>0.2</v>
      </c>
      <c r="G91" s="348">
        <f>E91/(1-F91)</f>
        <v>46.25</v>
      </c>
      <c r="H91" s="348"/>
      <c r="I91" s="83">
        <v>0.15</v>
      </c>
      <c r="J91" s="79">
        <f>H91*(1+I91)</f>
        <v>0</v>
      </c>
      <c r="K91" s="349">
        <f>J91*D91</f>
        <v>0</v>
      </c>
      <c r="L91" s="350">
        <f>G91+J91</f>
        <v>46.25</v>
      </c>
      <c r="M91" s="351">
        <f>D91*L91</f>
        <v>0</v>
      </c>
      <c r="N91" s="258"/>
      <c r="O91" s="258"/>
    </row>
    <row r="92" spans="1:15" ht="14.5" customHeight="1" thickBot="1" x14ac:dyDescent="0.35">
      <c r="A92" s="341" t="s">
        <v>240</v>
      </c>
      <c r="B92" s="451" t="s">
        <v>241</v>
      </c>
      <c r="C92" s="29" t="s">
        <v>108</v>
      </c>
      <c r="D92" s="1">
        <v>10</v>
      </c>
      <c r="E92" s="36">
        <v>81.25</v>
      </c>
      <c r="F92" s="41">
        <v>0.2</v>
      </c>
      <c r="G92" s="348">
        <f>E92/(1-F92)</f>
        <v>101.5625</v>
      </c>
      <c r="H92" s="348"/>
      <c r="I92" s="83">
        <v>0.15</v>
      </c>
      <c r="J92" s="79">
        <f>H92*(1+I92)</f>
        <v>0</v>
      </c>
      <c r="K92" s="349">
        <f>J92*D92</f>
        <v>0</v>
      </c>
      <c r="L92" s="350">
        <f>G92+J92</f>
        <v>101.5625</v>
      </c>
      <c r="M92" s="351">
        <f>D92*L92</f>
        <v>1015.625</v>
      </c>
      <c r="N92" s="258"/>
      <c r="O92" s="258"/>
    </row>
    <row r="93" spans="1:15" ht="14.5" customHeight="1" thickBot="1" x14ac:dyDescent="0.35">
      <c r="A93" s="397"/>
      <c r="B93" s="449"/>
      <c r="C93" s="71"/>
      <c r="D93" s="72"/>
      <c r="E93" s="73"/>
      <c r="F93" s="74"/>
      <c r="G93" s="356"/>
      <c r="H93" s="356"/>
      <c r="I93" s="73"/>
      <c r="J93" s="73"/>
      <c r="K93" s="357"/>
      <c r="L93" s="358"/>
      <c r="M93" s="358"/>
      <c r="N93" s="258"/>
      <c r="O93" s="258"/>
    </row>
    <row r="94" spans="1:15" s="297" customFormat="1" ht="14.15" customHeight="1" x14ac:dyDescent="0.3">
      <c r="A94" s="402">
        <v>2.14</v>
      </c>
      <c r="B94" s="452"/>
      <c r="C94" s="78"/>
      <c r="D94" s="65" t="s">
        <v>173</v>
      </c>
      <c r="E94" s="53"/>
      <c r="F94" s="54"/>
      <c r="G94" s="391"/>
      <c r="H94" s="391"/>
      <c r="I94" s="53"/>
      <c r="J94" s="53"/>
      <c r="K94" s="392"/>
      <c r="L94" s="393"/>
      <c r="M94" s="393"/>
      <c r="N94" s="258"/>
      <c r="O94" s="258"/>
    </row>
    <row r="95" spans="1:15" s="297" customFormat="1" ht="14.15" customHeight="1" x14ac:dyDescent="0.3">
      <c r="A95" s="341"/>
      <c r="B95" s="444"/>
      <c r="C95" s="29"/>
      <c r="D95" s="1"/>
      <c r="E95" s="36"/>
      <c r="F95" s="41"/>
      <c r="G95" s="348"/>
      <c r="H95" s="348"/>
      <c r="I95" s="79"/>
      <c r="J95" s="79"/>
      <c r="K95" s="349"/>
      <c r="L95" s="350"/>
      <c r="M95" s="351"/>
      <c r="N95" s="258"/>
      <c r="O95" s="258"/>
    </row>
    <row r="96" spans="1:15" s="297" customFormat="1" ht="28" customHeight="1" x14ac:dyDescent="0.3">
      <c r="A96" s="341"/>
      <c r="B96" s="443" t="s">
        <v>174</v>
      </c>
      <c r="C96" s="29"/>
      <c r="D96" s="1"/>
      <c r="E96" s="36"/>
      <c r="F96" s="41"/>
      <c r="G96" s="348"/>
      <c r="H96" s="348"/>
      <c r="I96" s="79"/>
      <c r="J96" s="79"/>
      <c r="K96" s="349"/>
      <c r="L96" s="350"/>
      <c r="M96" s="351"/>
      <c r="N96" s="258"/>
      <c r="O96" s="258"/>
    </row>
    <row r="97" spans="1:15" s="297" customFormat="1" ht="14.15" customHeight="1" x14ac:dyDescent="0.3">
      <c r="A97" s="384"/>
      <c r="B97" s="443"/>
      <c r="C97" s="29"/>
      <c r="D97" s="1"/>
      <c r="E97" s="36"/>
      <c r="F97" s="41"/>
      <c r="G97" s="348"/>
      <c r="H97" s="348"/>
      <c r="I97" s="79"/>
      <c r="J97" s="79"/>
      <c r="K97" s="349"/>
      <c r="L97" s="350"/>
      <c r="M97" s="351"/>
      <c r="N97" s="258"/>
      <c r="O97" s="258"/>
    </row>
    <row r="98" spans="1:15" s="297" customFormat="1" ht="14.15" customHeight="1" x14ac:dyDescent="0.3">
      <c r="A98" s="341" t="s">
        <v>175</v>
      </c>
      <c r="B98" s="443" t="s">
        <v>150</v>
      </c>
      <c r="C98" s="29" t="s">
        <v>85</v>
      </c>
      <c r="D98" s="1">
        <v>0</v>
      </c>
      <c r="E98" s="36">
        <f>752.54*1.1</f>
        <v>827.79399999999998</v>
      </c>
      <c r="F98" s="41">
        <v>0.2</v>
      </c>
      <c r="G98" s="348">
        <f t="shared" ref="G98:G109" si="5">E98/(1-F98)</f>
        <v>1034.7424999999998</v>
      </c>
      <c r="H98" s="348">
        <f>(250+100)*1.5</f>
        <v>525</v>
      </c>
      <c r="I98" s="83">
        <v>0.15</v>
      </c>
      <c r="J98" s="79">
        <f t="shared" ref="J98:J109" si="6">H98*(1+I98)</f>
        <v>603.75</v>
      </c>
      <c r="K98" s="349">
        <f t="shared" ref="K98:K109" si="7">J98*D98</f>
        <v>0</v>
      </c>
      <c r="L98" s="350">
        <f t="shared" ref="L98:L109" si="8">G98+J98</f>
        <v>1638.4924999999998</v>
      </c>
      <c r="M98" s="351">
        <f t="shared" ref="M98:M109" si="9">D98*L98</f>
        <v>0</v>
      </c>
      <c r="N98" s="258"/>
      <c r="O98" s="258"/>
    </row>
    <row r="99" spans="1:15" s="297" customFormat="1" ht="14.15" customHeight="1" x14ac:dyDescent="0.3">
      <c r="A99" s="341" t="s">
        <v>176</v>
      </c>
      <c r="B99" s="443" t="s">
        <v>177</v>
      </c>
      <c r="C99" s="29" t="s">
        <v>85</v>
      </c>
      <c r="D99" s="1">
        <v>0</v>
      </c>
      <c r="E99" s="36">
        <f>350*1.1</f>
        <v>385.00000000000006</v>
      </c>
      <c r="F99" s="41">
        <v>0.2</v>
      </c>
      <c r="G99" s="348">
        <f t="shared" si="5"/>
        <v>481.25000000000006</v>
      </c>
      <c r="H99" s="348">
        <f>(250+100)*1.5</f>
        <v>525</v>
      </c>
      <c r="I99" s="83">
        <v>0.15</v>
      </c>
      <c r="J99" s="79">
        <f t="shared" si="6"/>
        <v>603.75</v>
      </c>
      <c r="K99" s="349">
        <f t="shared" si="7"/>
        <v>0</v>
      </c>
      <c r="L99" s="350">
        <f t="shared" si="8"/>
        <v>1085</v>
      </c>
      <c r="M99" s="351">
        <f t="shared" si="9"/>
        <v>0</v>
      </c>
      <c r="N99" s="258"/>
      <c r="O99" s="258"/>
    </row>
    <row r="100" spans="1:15" s="297" customFormat="1" ht="14.15" customHeight="1" x14ac:dyDescent="0.3">
      <c r="A100" s="341" t="s">
        <v>178</v>
      </c>
      <c r="B100" s="443" t="s">
        <v>152</v>
      </c>
      <c r="C100" s="29" t="s">
        <v>85</v>
      </c>
      <c r="D100" s="1">
        <v>0</v>
      </c>
      <c r="E100" s="36">
        <v>550</v>
      </c>
      <c r="F100" s="41">
        <v>0.2</v>
      </c>
      <c r="G100" s="348">
        <f t="shared" si="5"/>
        <v>687.5</v>
      </c>
      <c r="H100" s="348">
        <f>(250+100)*1.5</f>
        <v>525</v>
      </c>
      <c r="I100" s="83">
        <v>0.15</v>
      </c>
      <c r="J100" s="79">
        <f t="shared" si="6"/>
        <v>603.75</v>
      </c>
      <c r="K100" s="349">
        <f t="shared" si="7"/>
        <v>0</v>
      </c>
      <c r="L100" s="350">
        <f t="shared" si="8"/>
        <v>1291.25</v>
      </c>
      <c r="M100" s="351">
        <f t="shared" si="9"/>
        <v>0</v>
      </c>
      <c r="N100" s="258"/>
      <c r="O100" s="258"/>
    </row>
    <row r="101" spans="1:15" s="297" customFormat="1" ht="14.15" customHeight="1" x14ac:dyDescent="0.3">
      <c r="A101" s="341" t="s">
        <v>179</v>
      </c>
      <c r="B101" s="443" t="s">
        <v>154</v>
      </c>
      <c r="C101" s="29" t="s">
        <v>85</v>
      </c>
      <c r="D101" s="1">
        <v>0</v>
      </c>
      <c r="E101" s="36">
        <v>350</v>
      </c>
      <c r="F101" s="41">
        <v>0.2</v>
      </c>
      <c r="G101" s="348">
        <f t="shared" si="5"/>
        <v>437.5</v>
      </c>
      <c r="H101" s="348">
        <v>525</v>
      </c>
      <c r="I101" s="83">
        <v>0.15</v>
      </c>
      <c r="J101" s="79">
        <f t="shared" si="6"/>
        <v>603.75</v>
      </c>
      <c r="K101" s="349">
        <f t="shared" si="7"/>
        <v>0</v>
      </c>
      <c r="L101" s="350">
        <f t="shared" si="8"/>
        <v>1041.25</v>
      </c>
      <c r="M101" s="351">
        <f t="shared" si="9"/>
        <v>0</v>
      </c>
      <c r="N101" s="258"/>
      <c r="O101" s="258"/>
    </row>
    <row r="102" spans="1:15" s="297" customFormat="1" ht="14.5" customHeight="1" x14ac:dyDescent="0.3">
      <c r="A102" s="341" t="s">
        <v>180</v>
      </c>
      <c r="B102" s="443" t="s">
        <v>156</v>
      </c>
      <c r="C102" s="29" t="s">
        <v>85</v>
      </c>
      <c r="D102" s="1">
        <v>0</v>
      </c>
      <c r="E102" s="36"/>
      <c r="F102" s="41"/>
      <c r="G102" s="348">
        <f t="shared" si="5"/>
        <v>0</v>
      </c>
      <c r="H102" s="348">
        <v>525</v>
      </c>
      <c r="I102" s="83">
        <v>0.15</v>
      </c>
      <c r="J102" s="79">
        <f t="shared" si="6"/>
        <v>603.75</v>
      </c>
      <c r="K102" s="349">
        <f t="shared" si="7"/>
        <v>0</v>
      </c>
      <c r="L102" s="350">
        <f t="shared" si="8"/>
        <v>603.75</v>
      </c>
      <c r="M102" s="351">
        <f t="shared" si="9"/>
        <v>0</v>
      </c>
      <c r="N102" s="258"/>
      <c r="O102" s="258"/>
    </row>
    <row r="103" spans="1:15" s="297" customFormat="1" ht="14.15" customHeight="1" x14ac:dyDescent="0.3">
      <c r="A103" s="341" t="s">
        <v>181</v>
      </c>
      <c r="B103" s="443" t="s">
        <v>158</v>
      </c>
      <c r="C103" s="29" t="s">
        <v>85</v>
      </c>
      <c r="D103" s="1">
        <v>0</v>
      </c>
      <c r="E103" s="36">
        <v>350</v>
      </c>
      <c r="F103" s="41">
        <v>0.2</v>
      </c>
      <c r="G103" s="348">
        <f t="shared" si="5"/>
        <v>437.5</v>
      </c>
      <c r="H103" s="348">
        <v>525</v>
      </c>
      <c r="I103" s="83">
        <v>0.15</v>
      </c>
      <c r="J103" s="79">
        <f t="shared" si="6"/>
        <v>603.75</v>
      </c>
      <c r="K103" s="349">
        <f t="shared" si="7"/>
        <v>0</v>
      </c>
      <c r="L103" s="350">
        <f t="shared" si="8"/>
        <v>1041.25</v>
      </c>
      <c r="M103" s="351">
        <f t="shared" si="9"/>
        <v>0</v>
      </c>
      <c r="N103" s="258"/>
      <c r="O103" s="258"/>
    </row>
    <row r="104" spans="1:15" s="297" customFormat="1" ht="14.15" customHeight="1" x14ac:dyDescent="0.3">
      <c r="A104" s="341" t="s">
        <v>182</v>
      </c>
      <c r="B104" s="443" t="s">
        <v>160</v>
      </c>
      <c r="C104" s="29" t="s">
        <v>85</v>
      </c>
      <c r="D104" s="1">
        <v>0</v>
      </c>
      <c r="E104" s="36">
        <v>350</v>
      </c>
      <c r="F104" s="41">
        <v>0.2</v>
      </c>
      <c r="G104" s="348">
        <f t="shared" si="5"/>
        <v>437.5</v>
      </c>
      <c r="H104" s="348">
        <v>525</v>
      </c>
      <c r="I104" s="83">
        <v>0.15</v>
      </c>
      <c r="J104" s="79">
        <f t="shared" si="6"/>
        <v>603.75</v>
      </c>
      <c r="K104" s="349">
        <f t="shared" si="7"/>
        <v>0</v>
      </c>
      <c r="L104" s="350">
        <f t="shared" si="8"/>
        <v>1041.25</v>
      </c>
      <c r="M104" s="351">
        <f t="shared" si="9"/>
        <v>0</v>
      </c>
      <c r="N104" s="258"/>
      <c r="O104" s="258"/>
    </row>
    <row r="105" spans="1:15" s="297" customFormat="1" ht="14.15" customHeight="1" x14ac:dyDescent="0.3">
      <c r="A105" s="341" t="s">
        <v>183</v>
      </c>
      <c r="B105" s="443" t="s">
        <v>184</v>
      </c>
      <c r="C105" s="29" t="s">
        <v>85</v>
      </c>
      <c r="D105" s="1">
        <v>0</v>
      </c>
      <c r="E105" s="36"/>
      <c r="F105" s="41">
        <v>0.2</v>
      </c>
      <c r="G105" s="348">
        <f t="shared" si="5"/>
        <v>0</v>
      </c>
      <c r="H105" s="348">
        <v>525</v>
      </c>
      <c r="I105" s="83">
        <v>0.15</v>
      </c>
      <c r="J105" s="79">
        <f t="shared" si="6"/>
        <v>603.75</v>
      </c>
      <c r="K105" s="349">
        <f t="shared" si="7"/>
        <v>0</v>
      </c>
      <c r="L105" s="350">
        <f t="shared" si="8"/>
        <v>603.75</v>
      </c>
      <c r="M105" s="351">
        <f t="shared" si="9"/>
        <v>0</v>
      </c>
      <c r="N105" s="258"/>
      <c r="O105" s="258"/>
    </row>
    <row r="106" spans="1:15" s="297" customFormat="1" ht="14.15" customHeight="1" x14ac:dyDescent="0.3">
      <c r="A106" s="341" t="s">
        <v>185</v>
      </c>
      <c r="B106" s="443" t="s">
        <v>186</v>
      </c>
      <c r="C106" s="29" t="s">
        <v>85</v>
      </c>
      <c r="D106" s="1">
        <v>0</v>
      </c>
      <c r="E106" s="36">
        <v>250</v>
      </c>
      <c r="F106" s="41">
        <v>0.2</v>
      </c>
      <c r="G106" s="348">
        <f t="shared" si="5"/>
        <v>312.5</v>
      </c>
      <c r="H106" s="348">
        <v>525</v>
      </c>
      <c r="I106" s="83">
        <v>0.15</v>
      </c>
      <c r="J106" s="79">
        <f t="shared" si="6"/>
        <v>603.75</v>
      </c>
      <c r="K106" s="349">
        <f t="shared" si="7"/>
        <v>0</v>
      </c>
      <c r="L106" s="350">
        <f t="shared" si="8"/>
        <v>916.25</v>
      </c>
      <c r="M106" s="351">
        <f t="shared" si="9"/>
        <v>0</v>
      </c>
      <c r="N106" s="258"/>
      <c r="O106" s="258"/>
    </row>
    <row r="107" spans="1:15" s="297" customFormat="1" ht="14.15" customHeight="1" x14ac:dyDescent="0.3">
      <c r="A107" s="341" t="s">
        <v>187</v>
      </c>
      <c r="B107" s="443" t="s">
        <v>188</v>
      </c>
      <c r="C107" s="29" t="s">
        <v>85</v>
      </c>
      <c r="D107" s="1">
        <v>0</v>
      </c>
      <c r="E107" s="36">
        <v>500</v>
      </c>
      <c r="F107" s="41">
        <v>0.2</v>
      </c>
      <c r="G107" s="348">
        <f t="shared" si="5"/>
        <v>625</v>
      </c>
      <c r="H107" s="348">
        <v>525</v>
      </c>
      <c r="I107" s="83">
        <v>0.15</v>
      </c>
      <c r="J107" s="79">
        <f t="shared" si="6"/>
        <v>603.75</v>
      </c>
      <c r="K107" s="349">
        <f t="shared" si="7"/>
        <v>0</v>
      </c>
      <c r="L107" s="350">
        <f t="shared" si="8"/>
        <v>1228.75</v>
      </c>
      <c r="M107" s="351">
        <f t="shared" si="9"/>
        <v>0</v>
      </c>
      <c r="N107" s="258"/>
      <c r="O107" s="258"/>
    </row>
    <row r="108" spans="1:15" s="297" customFormat="1" ht="14.15" customHeight="1" x14ac:dyDescent="0.3">
      <c r="A108" s="341" t="s">
        <v>189</v>
      </c>
      <c r="B108" s="451" t="s">
        <v>190</v>
      </c>
      <c r="C108" s="29" t="s">
        <v>85</v>
      </c>
      <c r="D108" s="1">
        <v>0</v>
      </c>
      <c r="E108" s="36">
        <v>500</v>
      </c>
      <c r="F108" s="41">
        <v>0.2</v>
      </c>
      <c r="G108" s="348">
        <f t="shared" si="5"/>
        <v>625</v>
      </c>
      <c r="H108" s="348">
        <v>525</v>
      </c>
      <c r="I108" s="83">
        <v>0.15</v>
      </c>
      <c r="J108" s="79">
        <f t="shared" si="6"/>
        <v>603.75</v>
      </c>
      <c r="K108" s="349">
        <f t="shared" si="7"/>
        <v>0</v>
      </c>
      <c r="L108" s="350">
        <f t="shared" si="8"/>
        <v>1228.75</v>
      </c>
      <c r="M108" s="351">
        <f t="shared" si="9"/>
        <v>0</v>
      </c>
      <c r="N108" s="258"/>
      <c r="O108" s="258"/>
    </row>
    <row r="109" spans="1:15" s="297" customFormat="1" ht="14.5" customHeight="1" thickBot="1" x14ac:dyDescent="0.35">
      <c r="A109" s="381" t="s">
        <v>189</v>
      </c>
      <c r="B109" s="446" t="s">
        <v>242</v>
      </c>
      <c r="C109" s="76" t="s">
        <v>85</v>
      </c>
      <c r="D109" s="50">
        <v>6</v>
      </c>
      <c r="E109" s="51">
        <v>200</v>
      </c>
      <c r="F109" s="52">
        <v>0.2</v>
      </c>
      <c r="G109" s="376">
        <f t="shared" si="5"/>
        <v>250</v>
      </c>
      <c r="H109" s="376">
        <v>525</v>
      </c>
      <c r="I109" s="84">
        <v>0.15</v>
      </c>
      <c r="J109" s="80">
        <f t="shared" si="6"/>
        <v>603.75</v>
      </c>
      <c r="K109" s="382">
        <f t="shared" si="7"/>
        <v>3622.5</v>
      </c>
      <c r="L109" s="412">
        <f t="shared" si="8"/>
        <v>853.75</v>
      </c>
      <c r="M109" s="378">
        <f t="shared" si="9"/>
        <v>5122.5</v>
      </c>
      <c r="N109" s="258"/>
      <c r="O109" s="258"/>
    </row>
    <row r="110" spans="1:15" s="297" customFormat="1" ht="14.5" customHeight="1" thickBot="1" x14ac:dyDescent="0.35">
      <c r="A110" s="404"/>
      <c r="B110" s="453"/>
      <c r="C110" s="29"/>
      <c r="D110" s="1"/>
      <c r="E110" s="36"/>
      <c r="F110" s="41"/>
      <c r="G110" s="348"/>
      <c r="H110" s="348"/>
      <c r="I110" s="79"/>
      <c r="J110" s="79"/>
      <c r="K110" s="406"/>
      <c r="L110" s="350"/>
      <c r="M110" s="351"/>
      <c r="N110" s="258"/>
      <c r="O110" s="258"/>
    </row>
    <row r="111" spans="1:15" ht="14.15" customHeight="1" x14ac:dyDescent="0.3">
      <c r="A111" s="359">
        <v>2.15</v>
      </c>
      <c r="B111" s="450"/>
      <c r="C111" s="75"/>
      <c r="D111" s="58" t="s">
        <v>191</v>
      </c>
      <c r="E111" s="56"/>
      <c r="F111" s="57"/>
      <c r="G111" s="361"/>
      <c r="H111" s="361"/>
      <c r="I111" s="56"/>
      <c r="J111" s="56"/>
      <c r="K111" s="362"/>
      <c r="L111" s="363"/>
      <c r="M111" s="363"/>
      <c r="N111" s="258"/>
      <c r="O111" s="258"/>
    </row>
    <row r="112" spans="1:15" ht="14.15" customHeight="1" x14ac:dyDescent="0.3">
      <c r="A112" s="341"/>
      <c r="B112" s="444"/>
      <c r="C112" s="29"/>
      <c r="D112" s="1"/>
      <c r="E112" s="36"/>
      <c r="F112" s="41"/>
      <c r="G112" s="348"/>
      <c r="H112" s="348"/>
      <c r="I112" s="79"/>
      <c r="J112" s="79"/>
      <c r="K112" s="349"/>
      <c r="L112" s="350"/>
      <c r="M112" s="351"/>
      <c r="N112" s="258"/>
      <c r="O112" s="258"/>
    </row>
    <row r="113" spans="1:15" ht="28" customHeight="1" x14ac:dyDescent="0.3">
      <c r="A113" s="341"/>
      <c r="B113" s="443" t="s">
        <v>192</v>
      </c>
      <c r="C113" s="29"/>
      <c r="D113" s="1"/>
      <c r="E113" s="36"/>
      <c r="F113" s="41"/>
      <c r="G113" s="348"/>
      <c r="H113" s="348"/>
      <c r="I113" s="79"/>
      <c r="J113" s="79"/>
      <c r="K113" s="349"/>
      <c r="L113" s="350"/>
      <c r="M113" s="351"/>
      <c r="N113" s="258"/>
      <c r="O113" s="258"/>
    </row>
    <row r="114" spans="1:15" ht="14.15" customHeight="1" x14ac:dyDescent="0.3">
      <c r="A114" s="384"/>
      <c r="B114" s="443"/>
      <c r="C114" s="29"/>
      <c r="D114" s="1"/>
      <c r="E114" s="36"/>
      <c r="F114" s="41"/>
      <c r="G114" s="348"/>
      <c r="H114" s="348"/>
      <c r="I114" s="79"/>
      <c r="J114" s="79"/>
      <c r="K114" s="349"/>
      <c r="L114" s="350"/>
      <c r="M114" s="351"/>
      <c r="N114" s="258"/>
      <c r="O114" s="258"/>
    </row>
    <row r="115" spans="1:15" ht="14.15" customHeight="1" x14ac:dyDescent="0.3">
      <c r="A115" s="341" t="s">
        <v>193</v>
      </c>
      <c r="B115" s="443" t="s">
        <v>194</v>
      </c>
      <c r="C115" s="29" t="s">
        <v>108</v>
      </c>
      <c r="D115" s="1">
        <v>0</v>
      </c>
      <c r="E115" s="36">
        <f>132*(15+10+10)</f>
        <v>4620</v>
      </c>
      <c r="F115" s="41">
        <v>0.2</v>
      </c>
      <c r="G115" s="348">
        <f>E115/(1-F115)</f>
        <v>5775</v>
      </c>
      <c r="H115" s="348">
        <f>9*(15+10+10)</f>
        <v>315</v>
      </c>
      <c r="I115" s="83">
        <v>0.15</v>
      </c>
      <c r="J115" s="79">
        <f>H115*(1+I115)</f>
        <v>362.25</v>
      </c>
      <c r="K115" s="349">
        <f>J115*D115</f>
        <v>0</v>
      </c>
      <c r="L115" s="350">
        <f>G115+J115</f>
        <v>6137.25</v>
      </c>
      <c r="M115" s="351">
        <f>D115*L115</f>
        <v>0</v>
      </c>
      <c r="N115" s="258"/>
      <c r="O115" s="258"/>
    </row>
    <row r="116" spans="1:15" ht="14.5" customHeight="1" thickBot="1" x14ac:dyDescent="0.35">
      <c r="A116" s="381" t="s">
        <v>195</v>
      </c>
      <c r="B116" s="446" t="s">
        <v>196</v>
      </c>
      <c r="C116" s="76" t="s">
        <v>108</v>
      </c>
      <c r="D116" s="50">
        <f>15+N("Just for the inverter battery system")</f>
        <v>15</v>
      </c>
      <c r="E116" s="51">
        <f>30</f>
        <v>30</v>
      </c>
      <c r="F116" s="52">
        <v>0.2</v>
      </c>
      <c r="G116" s="376">
        <f>E116/(1-F116)</f>
        <v>37.5</v>
      </c>
      <c r="H116" s="376">
        <f>15</f>
        <v>15</v>
      </c>
      <c r="I116" s="84">
        <v>0.15</v>
      </c>
      <c r="J116" s="80">
        <f>H116*(1+I116)</f>
        <v>17.25</v>
      </c>
      <c r="K116" s="382">
        <f>J116*D116</f>
        <v>258.75</v>
      </c>
      <c r="L116" s="407">
        <f>G116+J116</f>
        <v>54.75</v>
      </c>
      <c r="M116" s="378">
        <f>D116*L116</f>
        <v>821.25</v>
      </c>
      <c r="N116" s="258"/>
      <c r="O116" s="258"/>
    </row>
    <row r="117" spans="1:15" ht="14.5" customHeight="1" thickBot="1" x14ac:dyDescent="0.35">
      <c r="A117" s="258"/>
      <c r="B117" s="453"/>
      <c r="C117" s="29"/>
      <c r="D117" s="1"/>
      <c r="E117" s="36"/>
      <c r="F117" s="41"/>
      <c r="G117" s="348"/>
      <c r="H117" s="348"/>
      <c r="I117" s="79"/>
      <c r="J117" s="79"/>
      <c r="K117" s="406"/>
      <c r="L117" s="350"/>
      <c r="M117" s="351"/>
      <c r="N117" s="258"/>
      <c r="O117" s="258"/>
    </row>
    <row r="118" spans="1:15" ht="14.15" customHeight="1" x14ac:dyDescent="0.3">
      <c r="A118" s="359">
        <v>2.16</v>
      </c>
      <c r="B118" s="450"/>
      <c r="C118" s="75"/>
      <c r="D118" s="58" t="s">
        <v>197</v>
      </c>
      <c r="E118" s="56"/>
      <c r="F118" s="57"/>
      <c r="G118" s="361"/>
      <c r="H118" s="361"/>
      <c r="I118" s="56"/>
      <c r="J118" s="56"/>
      <c r="K118" s="362"/>
      <c r="L118" s="363"/>
      <c r="M118" s="363"/>
      <c r="N118" s="258"/>
      <c r="O118" s="258"/>
    </row>
    <row r="119" spans="1:15" ht="14.15" customHeight="1" x14ac:dyDescent="0.3">
      <c r="A119" s="341"/>
      <c r="B119" s="444"/>
      <c r="C119" s="29"/>
      <c r="D119" s="1"/>
      <c r="E119" s="36"/>
      <c r="F119" s="41"/>
      <c r="G119" s="348"/>
      <c r="H119" s="348"/>
      <c r="I119" s="79"/>
      <c r="J119" s="79"/>
      <c r="K119" s="349"/>
      <c r="L119" s="350"/>
      <c r="M119" s="351"/>
      <c r="N119" s="258"/>
      <c r="O119" s="258"/>
    </row>
    <row r="120" spans="1:15" ht="28.5" customHeight="1" thickBot="1" x14ac:dyDescent="0.35">
      <c r="A120" s="381" t="s">
        <v>198</v>
      </c>
      <c r="B120" s="446" t="s">
        <v>199</v>
      </c>
      <c r="C120" s="86" t="s">
        <v>108</v>
      </c>
      <c r="D120" s="50">
        <v>10</v>
      </c>
      <c r="E120" s="51">
        <v>5</v>
      </c>
      <c r="F120" s="52">
        <v>0.2</v>
      </c>
      <c r="G120" s="376">
        <f>E120/(1-F120)</f>
        <v>6.25</v>
      </c>
      <c r="H120" s="376">
        <f>(100*3)</f>
        <v>300</v>
      </c>
      <c r="I120" s="84">
        <v>0.15</v>
      </c>
      <c r="J120" s="80">
        <f>H120*(1+I120)</f>
        <v>345</v>
      </c>
      <c r="K120" s="382">
        <f>J120*D120</f>
        <v>3450</v>
      </c>
      <c r="L120" s="407">
        <f>G120+J120</f>
        <v>351.25</v>
      </c>
      <c r="M120" s="378">
        <f>D120*L120</f>
        <v>3512.5</v>
      </c>
      <c r="N120" s="258"/>
      <c r="O120" s="258"/>
    </row>
    <row r="121" spans="1:15" ht="13.4" customHeight="1" thickBot="1" x14ac:dyDescent="0.35">
      <c r="A121" s="404"/>
      <c r="B121" s="453"/>
      <c r="C121" s="29"/>
      <c r="D121" s="1"/>
      <c r="E121" s="36"/>
      <c r="F121" s="41"/>
      <c r="G121" s="348"/>
      <c r="H121" s="348"/>
      <c r="I121" s="79"/>
      <c r="J121" s="79"/>
      <c r="K121" s="406"/>
      <c r="L121" s="350"/>
      <c r="M121" s="351"/>
      <c r="N121" s="258"/>
      <c r="O121" s="258"/>
    </row>
    <row r="122" spans="1:15" ht="14.15" customHeight="1" x14ac:dyDescent="0.3">
      <c r="A122" s="359">
        <v>2.17</v>
      </c>
      <c r="B122" s="450"/>
      <c r="C122" s="75"/>
      <c r="D122" s="58" t="s">
        <v>200</v>
      </c>
      <c r="E122" s="56"/>
      <c r="F122" s="57"/>
      <c r="G122" s="361"/>
      <c r="H122" s="361"/>
      <c r="I122" s="56"/>
      <c r="J122" s="56"/>
      <c r="K122" s="362"/>
      <c r="L122" s="363"/>
      <c r="M122" s="363"/>
      <c r="N122" s="258"/>
      <c r="O122" s="258"/>
    </row>
    <row r="123" spans="1:15" ht="14.15" customHeight="1" x14ac:dyDescent="0.3">
      <c r="A123" s="341"/>
      <c r="B123" s="454"/>
      <c r="C123" s="29"/>
      <c r="D123" s="1"/>
      <c r="E123" s="36"/>
      <c r="F123" s="41"/>
      <c r="G123" s="348"/>
      <c r="H123" s="348"/>
      <c r="I123" s="79"/>
      <c r="J123" s="79"/>
      <c r="K123" s="349"/>
      <c r="L123" s="350"/>
      <c r="M123" s="351"/>
      <c r="N123" s="258"/>
      <c r="O123" s="258"/>
    </row>
    <row r="124" spans="1:15" ht="14.15" customHeight="1" x14ac:dyDescent="0.3">
      <c r="A124" s="341"/>
      <c r="B124" s="443" t="s">
        <v>201</v>
      </c>
      <c r="C124" s="29"/>
      <c r="D124" s="1"/>
      <c r="E124" s="36"/>
      <c r="F124" s="41"/>
      <c r="G124" s="348"/>
      <c r="H124" s="348"/>
      <c r="I124" s="79"/>
      <c r="J124" s="79"/>
      <c r="K124" s="349"/>
      <c r="L124" s="350"/>
      <c r="M124" s="351"/>
      <c r="N124" s="258"/>
      <c r="O124" s="258"/>
    </row>
    <row r="125" spans="1:15" ht="14.15" customHeight="1" x14ac:dyDescent="0.3">
      <c r="A125" s="384"/>
      <c r="B125" s="455"/>
      <c r="C125" s="29"/>
      <c r="D125" s="1"/>
      <c r="E125" s="36"/>
      <c r="F125" s="41"/>
      <c r="G125" s="348"/>
      <c r="H125" s="348"/>
      <c r="I125" s="79"/>
      <c r="J125" s="79"/>
      <c r="K125" s="349"/>
      <c r="L125" s="350"/>
      <c r="M125" s="351"/>
      <c r="N125" s="258"/>
      <c r="O125" s="258"/>
    </row>
    <row r="126" spans="1:15" ht="28" customHeight="1" x14ac:dyDescent="0.3">
      <c r="A126" s="341" t="s">
        <v>202</v>
      </c>
      <c r="B126" s="443" t="s">
        <v>203</v>
      </c>
      <c r="C126" s="87" t="s">
        <v>42</v>
      </c>
      <c r="D126" s="1">
        <v>0</v>
      </c>
      <c r="E126" s="36"/>
      <c r="F126" s="41">
        <v>0.2</v>
      </c>
      <c r="G126" s="348">
        <f>E126/(1-F126)</f>
        <v>0</v>
      </c>
      <c r="H126" s="348">
        <f>140*(20+60+200)</f>
        <v>39200</v>
      </c>
      <c r="I126" s="83">
        <v>0.15</v>
      </c>
      <c r="J126" s="79">
        <f>H126*(1+I126)</f>
        <v>45080</v>
      </c>
      <c r="K126" s="349">
        <f>J126*D126</f>
        <v>0</v>
      </c>
      <c r="L126" s="350">
        <f>G126+J126</f>
        <v>45080</v>
      </c>
      <c r="M126" s="351">
        <f>D126*L126</f>
        <v>0</v>
      </c>
      <c r="N126" s="258"/>
      <c r="O126" s="258"/>
    </row>
    <row r="127" spans="1:15" s="297" customFormat="1" ht="28" customHeight="1" x14ac:dyDescent="0.3">
      <c r="A127" s="341" t="s">
        <v>204</v>
      </c>
      <c r="B127" s="443" t="s">
        <v>205</v>
      </c>
      <c r="C127" s="87" t="s">
        <v>42</v>
      </c>
      <c r="D127" s="1">
        <v>0</v>
      </c>
      <c r="E127" s="36"/>
      <c r="F127" s="41">
        <v>0.2</v>
      </c>
      <c r="G127" s="348">
        <f>E127/(1-F127)</f>
        <v>0</v>
      </c>
      <c r="H127" s="348">
        <f>140*(20+60+200)</f>
        <v>39200</v>
      </c>
      <c r="I127" s="83">
        <v>0.15</v>
      </c>
      <c r="J127" s="79">
        <f>H127*(1+I127)</f>
        <v>45080</v>
      </c>
      <c r="K127" s="349">
        <f>J127*D127</f>
        <v>0</v>
      </c>
      <c r="L127" s="350">
        <f>G127+J127</f>
        <v>45080</v>
      </c>
      <c r="M127" s="351">
        <f>D127*L127</f>
        <v>0</v>
      </c>
      <c r="N127" s="258"/>
      <c r="O127" s="258"/>
    </row>
    <row r="128" spans="1:15" s="297" customFormat="1" ht="14.15" customHeight="1" x14ac:dyDescent="0.3">
      <c r="A128" s="341" t="s">
        <v>206</v>
      </c>
      <c r="B128" s="443" t="s">
        <v>207</v>
      </c>
      <c r="C128" s="29" t="s">
        <v>42</v>
      </c>
      <c r="D128" s="1">
        <v>0</v>
      </c>
      <c r="E128" s="36">
        <f>35*(50+50)</f>
        <v>3500</v>
      </c>
      <c r="F128" s="41">
        <v>0.2</v>
      </c>
      <c r="G128" s="348">
        <f>E128/(1-F128)</f>
        <v>4375</v>
      </c>
      <c r="H128" s="348">
        <f>5*(50+50+50)</f>
        <v>750</v>
      </c>
      <c r="I128" s="83">
        <v>0.15</v>
      </c>
      <c r="J128" s="79">
        <f>H128*(1+I128)</f>
        <v>862.49999999999989</v>
      </c>
      <c r="K128" s="349">
        <f>J128*D128</f>
        <v>0</v>
      </c>
      <c r="L128" s="350">
        <f>G128+J128</f>
        <v>5237.5</v>
      </c>
      <c r="M128" s="351">
        <f>D128*L128</f>
        <v>0</v>
      </c>
      <c r="N128" s="258"/>
      <c r="O128" s="258"/>
    </row>
    <row r="129" spans="1:15" s="297" customFormat="1" ht="14.5" customHeight="1" thickBot="1" x14ac:dyDescent="0.35">
      <c r="A129" s="381" t="s">
        <v>208</v>
      </c>
      <c r="B129" s="446" t="s">
        <v>209</v>
      </c>
      <c r="C129" s="76" t="s">
        <v>42</v>
      </c>
      <c r="D129" s="50">
        <v>0</v>
      </c>
      <c r="E129" s="51">
        <f>4500*3</f>
        <v>13500</v>
      </c>
      <c r="F129" s="52">
        <v>0.2</v>
      </c>
      <c r="G129" s="376">
        <f>E129/(1-F129)</f>
        <v>16875</v>
      </c>
      <c r="H129" s="376">
        <v>5</v>
      </c>
      <c r="I129" s="84">
        <v>0.15</v>
      </c>
      <c r="J129" s="80">
        <f>H129*(1+I129)</f>
        <v>5.75</v>
      </c>
      <c r="K129" s="382">
        <f>J129*D129</f>
        <v>0</v>
      </c>
      <c r="L129" s="407">
        <f>G129+J129</f>
        <v>16880.75</v>
      </c>
      <c r="M129" s="378">
        <f>D129*L129</f>
        <v>0</v>
      </c>
      <c r="N129" s="258"/>
      <c r="O129" s="258"/>
    </row>
    <row r="130" spans="1:15" s="297" customFormat="1" ht="14.5" customHeight="1" thickBot="1" x14ac:dyDescent="0.35">
      <c r="A130" s="404"/>
      <c r="B130" s="456"/>
      <c r="C130" s="28"/>
      <c r="D130" s="1"/>
      <c r="E130" s="36"/>
      <c r="F130" s="41"/>
      <c r="G130" s="348"/>
      <c r="H130" s="348"/>
      <c r="I130" s="79"/>
      <c r="J130" s="79"/>
      <c r="K130" s="406"/>
      <c r="L130" s="350"/>
      <c r="M130" s="351"/>
      <c r="N130" s="258"/>
      <c r="O130" s="258"/>
    </row>
    <row r="131" spans="1:15" s="297" customFormat="1" ht="14.15" customHeight="1" x14ac:dyDescent="0.3">
      <c r="A131" s="359">
        <v>2.1800000000000002</v>
      </c>
      <c r="B131" s="450"/>
      <c r="C131" s="75"/>
      <c r="D131" s="55" t="s">
        <v>210</v>
      </c>
      <c r="E131" s="56"/>
      <c r="F131" s="57"/>
      <c r="G131" s="361"/>
      <c r="H131" s="361"/>
      <c r="I131" s="56"/>
      <c r="J131" s="56"/>
      <c r="K131" s="362"/>
      <c r="L131" s="363"/>
      <c r="M131" s="363"/>
      <c r="N131" s="258"/>
      <c r="O131" s="258"/>
    </row>
    <row r="132" spans="1:15" s="297" customFormat="1" ht="14.15" customHeight="1" x14ac:dyDescent="0.3">
      <c r="A132" s="341"/>
      <c r="B132" s="454"/>
      <c r="C132" s="29"/>
      <c r="D132" s="1"/>
      <c r="E132" s="36"/>
      <c r="F132" s="41"/>
      <c r="G132" s="348"/>
      <c r="H132" s="348"/>
      <c r="I132" s="79"/>
      <c r="J132" s="79"/>
      <c r="K132" s="349"/>
      <c r="L132" s="350"/>
      <c r="M132" s="351"/>
      <c r="N132" s="258"/>
      <c r="O132" s="258"/>
    </row>
    <row r="133" spans="1:15" s="297" customFormat="1" ht="14.15" customHeight="1" x14ac:dyDescent="0.3">
      <c r="A133" s="341" t="s">
        <v>211</v>
      </c>
      <c r="B133" s="443" t="s">
        <v>243</v>
      </c>
      <c r="C133" s="29" t="s">
        <v>42</v>
      </c>
      <c r="D133" s="1">
        <v>1</v>
      </c>
      <c r="E133" s="36">
        <v>10000</v>
      </c>
      <c r="F133" s="41">
        <v>0.2</v>
      </c>
      <c r="G133" s="348">
        <f>E133/(1-F133)</f>
        <v>12500</v>
      </c>
      <c r="H133" s="348">
        <f>2500*3</f>
        <v>7500</v>
      </c>
      <c r="I133" s="79"/>
      <c r="J133" s="79"/>
      <c r="K133" s="349">
        <f>H133*D133</f>
        <v>7500</v>
      </c>
      <c r="L133" s="350">
        <f>G133+J133</f>
        <v>12500</v>
      </c>
      <c r="M133" s="351">
        <f>D133*L133</f>
        <v>12500</v>
      </c>
      <c r="N133" s="258"/>
      <c r="O133" s="258"/>
    </row>
    <row r="134" spans="1:15" s="297" customFormat="1" ht="14.5" customHeight="1" thickBot="1" x14ac:dyDescent="0.35">
      <c r="A134" s="381"/>
      <c r="B134" s="411"/>
      <c r="C134" s="77"/>
      <c r="D134" s="50"/>
      <c r="E134" s="51"/>
      <c r="F134" s="52"/>
      <c r="G134" s="376"/>
      <c r="H134" s="376"/>
      <c r="I134" s="80"/>
      <c r="J134" s="80"/>
      <c r="K134" s="382">
        <f>H134*D134</f>
        <v>0</v>
      </c>
      <c r="L134" s="412"/>
      <c r="M134" s="378"/>
      <c r="N134" s="258"/>
      <c r="O134" s="258"/>
    </row>
    <row r="135" spans="1:15" s="297" customFormat="1" ht="14.15" customHeight="1" x14ac:dyDescent="0.3">
      <c r="A135" s="369"/>
      <c r="B135" s="413"/>
      <c r="C135" s="28"/>
      <c r="D135" s="1"/>
      <c r="E135" s="36"/>
      <c r="F135" s="41"/>
      <c r="G135" s="348"/>
      <c r="H135" s="348"/>
      <c r="I135" s="36"/>
      <c r="J135" s="36"/>
      <c r="K135" s="414"/>
      <c r="L135" s="350"/>
      <c r="M135" s="351"/>
      <c r="N135" s="258"/>
      <c r="O135" s="258"/>
    </row>
    <row r="136" spans="1:15" s="297" customFormat="1" ht="14.15" customHeight="1" x14ac:dyDescent="0.3">
      <c r="A136" s="404">
        <v>2.19</v>
      </c>
      <c r="B136" s="455" t="s">
        <v>213</v>
      </c>
      <c r="C136" s="29"/>
      <c r="D136" s="1"/>
      <c r="E136" s="36"/>
      <c r="F136" s="41"/>
      <c r="G136" s="348"/>
      <c r="H136" s="348"/>
      <c r="I136" s="36"/>
      <c r="J136" s="36"/>
      <c r="K136" s="415">
        <f>H136*D136</f>
        <v>0</v>
      </c>
      <c r="L136" s="350"/>
      <c r="M136" s="351"/>
      <c r="N136" s="258"/>
      <c r="O136" s="258"/>
    </row>
    <row r="137" spans="1:15" s="297" customFormat="1" ht="14.15" customHeight="1" x14ac:dyDescent="0.3">
      <c r="A137" s="404" t="s">
        <v>214</v>
      </c>
      <c r="B137" s="443" t="s">
        <v>215</v>
      </c>
      <c r="C137" s="29" t="s">
        <v>42</v>
      </c>
      <c r="D137" s="1">
        <v>1</v>
      </c>
      <c r="E137" s="36">
        <v>25000</v>
      </c>
      <c r="F137" s="41">
        <v>0</v>
      </c>
      <c r="G137" s="348">
        <f>E137/(1-F137)</f>
        <v>25000</v>
      </c>
      <c r="H137" s="348">
        <v>0</v>
      </c>
      <c r="I137" s="36"/>
      <c r="J137" s="36"/>
      <c r="K137" s="415">
        <f>H137*D137</f>
        <v>0</v>
      </c>
      <c r="L137" s="350">
        <f>G137+H137</f>
        <v>25000</v>
      </c>
      <c r="M137" s="351">
        <f>D137*L137</f>
        <v>25000</v>
      </c>
      <c r="N137" s="258"/>
      <c r="O137" s="258"/>
    </row>
    <row r="138" spans="1:15" s="297" customFormat="1" ht="14.15" customHeight="1" x14ac:dyDescent="0.3">
      <c r="A138" s="404"/>
      <c r="B138" s="455"/>
      <c r="C138" s="29"/>
      <c r="D138" s="1"/>
      <c r="E138" s="36"/>
      <c r="F138" s="41"/>
      <c r="G138" s="348"/>
      <c r="H138" s="348"/>
      <c r="I138" s="36"/>
      <c r="J138" s="36"/>
      <c r="K138" s="415"/>
      <c r="L138" s="350"/>
      <c r="M138" s="351"/>
      <c r="N138" s="258"/>
      <c r="O138" s="258"/>
    </row>
    <row r="139" spans="1:15" s="297" customFormat="1" ht="14.15" customHeight="1" x14ac:dyDescent="0.3">
      <c r="A139" s="416">
        <v>2.2000000000000002</v>
      </c>
      <c r="B139" s="455" t="s">
        <v>216</v>
      </c>
      <c r="C139" s="29"/>
      <c r="D139" s="1"/>
      <c r="E139" s="36"/>
      <c r="F139" s="41"/>
      <c r="G139" s="348"/>
      <c r="H139" s="348"/>
      <c r="I139" s="36"/>
      <c r="J139" s="36"/>
      <c r="K139" s="415">
        <f>H139*D139</f>
        <v>0</v>
      </c>
      <c r="L139" s="350"/>
      <c r="M139" s="351"/>
      <c r="N139" s="258"/>
      <c r="O139" s="258"/>
    </row>
    <row r="140" spans="1:15" s="297" customFormat="1" ht="14.15" customHeight="1" x14ac:dyDescent="0.3">
      <c r="A140" s="404" t="s">
        <v>217</v>
      </c>
      <c r="B140" s="443" t="s">
        <v>218</v>
      </c>
      <c r="C140" s="29" t="s">
        <v>42</v>
      </c>
      <c r="D140" s="1">
        <v>1</v>
      </c>
      <c r="E140" s="36">
        <f>15000</f>
        <v>15000</v>
      </c>
      <c r="F140" s="41">
        <v>0</v>
      </c>
      <c r="G140" s="348">
        <f>E140/(1-F140)</f>
        <v>15000</v>
      </c>
      <c r="H140" s="348">
        <v>0</v>
      </c>
      <c r="I140" s="36"/>
      <c r="J140" s="36"/>
      <c r="K140" s="415">
        <f>H140*D140</f>
        <v>0</v>
      </c>
      <c r="L140" s="350">
        <f>G140+H140</f>
        <v>15000</v>
      </c>
      <c r="M140" s="351">
        <f>D140*L140</f>
        <v>15000</v>
      </c>
      <c r="N140" s="258"/>
      <c r="O140" s="258"/>
    </row>
    <row r="141" spans="1:15" s="297" customFormat="1" ht="14.15" customHeight="1" x14ac:dyDescent="0.3">
      <c r="A141" s="404"/>
      <c r="B141" s="455"/>
      <c r="C141" s="29"/>
      <c r="D141" s="1"/>
      <c r="E141" s="36"/>
      <c r="F141" s="41"/>
      <c r="G141" s="348"/>
      <c r="H141" s="348"/>
      <c r="I141" s="36"/>
      <c r="J141" s="36"/>
      <c r="K141" s="415"/>
      <c r="L141" s="350"/>
      <c r="M141" s="351"/>
      <c r="N141" s="258"/>
      <c r="O141" s="258"/>
    </row>
    <row r="142" spans="1:15" s="297" customFormat="1" ht="14.15" customHeight="1" x14ac:dyDescent="0.3">
      <c r="A142" s="404">
        <v>2.21</v>
      </c>
      <c r="B142" s="455" t="s">
        <v>219</v>
      </c>
      <c r="C142" s="29"/>
      <c r="D142" s="1"/>
      <c r="E142" s="36"/>
      <c r="F142" s="41"/>
      <c r="G142" s="348"/>
      <c r="H142" s="348"/>
      <c r="I142" s="36"/>
      <c r="J142" s="36"/>
      <c r="K142" s="415">
        <f>H142*D142</f>
        <v>0</v>
      </c>
      <c r="L142" s="350"/>
      <c r="M142" s="351"/>
      <c r="N142" s="258"/>
      <c r="O142" s="258"/>
    </row>
    <row r="143" spans="1:15" ht="14.15" customHeight="1" x14ac:dyDescent="0.3">
      <c r="A143" s="404" t="s">
        <v>220</v>
      </c>
      <c r="B143" s="443" t="s">
        <v>221</v>
      </c>
      <c r="C143" s="29" t="s">
        <v>42</v>
      </c>
      <c r="D143" s="1">
        <v>1</v>
      </c>
      <c r="E143" s="36">
        <f>5000</f>
        <v>5000</v>
      </c>
      <c r="F143" s="41">
        <v>0</v>
      </c>
      <c r="G143" s="348">
        <f>E143/(1-F143)</f>
        <v>5000</v>
      </c>
      <c r="H143" s="348">
        <v>0</v>
      </c>
      <c r="I143" s="36"/>
      <c r="J143" s="36"/>
      <c r="K143" s="415">
        <f>H143*D143</f>
        <v>0</v>
      </c>
      <c r="L143" s="350">
        <f>G143+H143</f>
        <v>5000</v>
      </c>
      <c r="M143" s="351">
        <f>D143*L143</f>
        <v>5000</v>
      </c>
      <c r="N143" s="258"/>
      <c r="O143" s="258"/>
    </row>
    <row r="144" spans="1:15" ht="14.15" customHeight="1" x14ac:dyDescent="0.3">
      <c r="A144" s="404" t="s">
        <v>222</v>
      </c>
      <c r="B144" s="443" t="s">
        <v>223</v>
      </c>
      <c r="C144" s="29" t="s">
        <v>42</v>
      </c>
      <c r="D144" s="1">
        <v>1</v>
      </c>
      <c r="E144" s="36">
        <f>50000</f>
        <v>50000</v>
      </c>
      <c r="F144" s="41">
        <v>0</v>
      </c>
      <c r="G144" s="348">
        <f>E144/(1-F144)</f>
        <v>50000</v>
      </c>
      <c r="H144" s="348">
        <v>0</v>
      </c>
      <c r="I144" s="36"/>
      <c r="J144" s="36"/>
      <c r="K144" s="415">
        <f>H144*D144</f>
        <v>0</v>
      </c>
      <c r="L144" s="350">
        <f>G144+H144</f>
        <v>50000</v>
      </c>
      <c r="M144" s="351">
        <f>D144*L144</f>
        <v>50000</v>
      </c>
      <c r="N144" s="258"/>
      <c r="O144" s="258"/>
    </row>
    <row r="145" spans="1:15" ht="14.15" customHeight="1" x14ac:dyDescent="0.3">
      <c r="A145" s="404"/>
      <c r="B145" s="413"/>
      <c r="C145" s="28"/>
      <c r="D145" s="1"/>
      <c r="E145" s="36"/>
      <c r="F145" s="41"/>
      <c r="G145" s="348"/>
      <c r="H145" s="348"/>
      <c r="I145" s="36"/>
      <c r="J145" s="36"/>
      <c r="K145" s="415"/>
      <c r="L145" s="350"/>
      <c r="M145" s="351"/>
      <c r="N145" s="258"/>
      <c r="O145" s="258"/>
    </row>
    <row r="146" spans="1:15" ht="14.15" customHeight="1" x14ac:dyDescent="0.3">
      <c r="A146" s="404">
        <v>2.2200000000000002</v>
      </c>
      <c r="B146" s="455" t="s">
        <v>224</v>
      </c>
      <c r="C146" s="28"/>
      <c r="D146" s="1"/>
      <c r="E146" s="36"/>
      <c r="F146" s="41"/>
      <c r="G146" s="348"/>
      <c r="H146" s="348"/>
      <c r="I146" s="36"/>
      <c r="J146" s="36"/>
      <c r="K146" s="415">
        <f>H146*D146</f>
        <v>0</v>
      </c>
      <c r="L146" s="350"/>
      <c r="M146" s="351"/>
      <c r="N146" s="258"/>
      <c r="O146" s="258"/>
    </row>
    <row r="147" spans="1:15" ht="14.15" customHeight="1" x14ac:dyDescent="0.3">
      <c r="A147" s="404"/>
      <c r="B147" s="413"/>
      <c r="C147" s="28"/>
      <c r="D147" s="1"/>
      <c r="E147" s="36"/>
      <c r="F147" s="41"/>
      <c r="G147" s="348"/>
      <c r="H147" s="348"/>
      <c r="I147" s="36"/>
      <c r="J147" s="36"/>
      <c r="K147" s="415">
        <f>H147*D147</f>
        <v>0</v>
      </c>
      <c r="L147" s="350"/>
      <c r="M147" s="351"/>
      <c r="N147" s="258"/>
      <c r="O147" s="258"/>
    </row>
    <row r="148" spans="1:15" ht="28" customHeight="1" x14ac:dyDescent="0.3">
      <c r="A148" s="404" t="s">
        <v>225</v>
      </c>
      <c r="B148" s="443" t="s">
        <v>226</v>
      </c>
      <c r="C148" s="1" t="s">
        <v>42</v>
      </c>
      <c r="D148" s="1">
        <v>1</v>
      </c>
      <c r="E148" s="36">
        <f>5000*3</f>
        <v>15000</v>
      </c>
      <c r="F148" s="41">
        <v>0.2</v>
      </c>
      <c r="G148" s="348">
        <f>E148/(1-F148)</f>
        <v>18750</v>
      </c>
      <c r="H148" s="348">
        <v>1</v>
      </c>
      <c r="I148" s="36"/>
      <c r="J148" s="36"/>
      <c r="K148" s="415">
        <f>H148*D148</f>
        <v>1</v>
      </c>
      <c r="L148" s="350">
        <f>G148+H148</f>
        <v>18751</v>
      </c>
      <c r="M148" s="351">
        <f>D148*L148</f>
        <v>18751</v>
      </c>
      <c r="N148" s="258"/>
      <c r="O148" s="258"/>
    </row>
    <row r="149" spans="1:15" ht="14.15" customHeight="1" x14ac:dyDescent="0.3">
      <c r="A149" s="404"/>
      <c r="B149" s="413"/>
      <c r="C149" s="28"/>
      <c r="D149" s="1"/>
      <c r="E149" s="36"/>
      <c r="F149" s="41"/>
      <c r="G149" s="348"/>
      <c r="H149" s="348"/>
      <c r="I149" s="36"/>
      <c r="J149" s="36"/>
      <c r="K149" s="417"/>
      <c r="L149" s="350"/>
      <c r="M149" s="418"/>
      <c r="N149" s="258"/>
      <c r="O149" s="258"/>
    </row>
    <row r="150" spans="1:15" ht="14.5" customHeight="1" thickBot="1" x14ac:dyDescent="0.35">
      <c r="A150" s="440"/>
      <c r="B150" s="413"/>
      <c r="C150" s="28"/>
      <c r="D150" s="1"/>
      <c r="E150" s="36"/>
      <c r="F150" s="41"/>
      <c r="G150" s="348"/>
      <c r="H150" s="348"/>
      <c r="I150" s="36"/>
      <c r="J150" s="36"/>
      <c r="K150" s="417"/>
      <c r="L150" s="350"/>
      <c r="M150" s="418"/>
      <c r="N150" s="258"/>
      <c r="O150" s="258"/>
    </row>
    <row r="151" spans="1:15" ht="18.75" customHeight="1" thickTop="1" x14ac:dyDescent="0.3">
      <c r="A151" s="419"/>
      <c r="B151" s="457" t="s">
        <v>227</v>
      </c>
      <c r="C151" s="2"/>
      <c r="D151" s="2"/>
      <c r="E151" s="39"/>
      <c r="F151" s="42"/>
      <c r="G151" s="421"/>
      <c r="H151" s="421"/>
      <c r="I151" s="39"/>
      <c r="J151" s="39"/>
      <c r="K151" s="422">
        <f>SUM(K11:K148)</f>
        <v>85200.75</v>
      </c>
      <c r="L151" s="458"/>
      <c r="M151" s="424">
        <f>SUM(M11:M150)</f>
        <v>478365.30255952379</v>
      </c>
      <c r="N151" s="258">
        <f>M151*1.15</f>
        <v>550120.0979434523</v>
      </c>
      <c r="O151" s="258"/>
    </row>
    <row r="152" spans="1:15" ht="16.5" customHeight="1" x14ac:dyDescent="0.3">
      <c r="A152" s="426"/>
      <c r="B152" s="427"/>
      <c r="C152" s="257"/>
      <c r="D152" s="47"/>
      <c r="E152" s="250"/>
      <c r="F152" s="48"/>
      <c r="G152" s="428"/>
      <c r="H152" s="428"/>
      <c r="I152" s="250"/>
      <c r="J152" s="250"/>
      <c r="K152" s="429"/>
      <c r="L152" s="430"/>
      <c r="M152" s="431"/>
      <c r="N152" s="258"/>
      <c r="O152" s="258"/>
    </row>
    <row r="153" spans="1:15" ht="18.75" customHeight="1" x14ac:dyDescent="0.3">
      <c r="A153" s="258"/>
      <c r="B153" s="387"/>
      <c r="C153" s="34"/>
      <c r="D153" s="249"/>
      <c r="E153" s="249"/>
      <c r="F153" s="249"/>
      <c r="G153" s="432"/>
      <c r="H153" s="432"/>
      <c r="I153" s="249"/>
      <c r="J153" s="249"/>
      <c r="K153" s="432"/>
      <c r="L153" s="433"/>
      <c r="M153" s="434"/>
      <c r="N153" s="258"/>
      <c r="O153" s="258"/>
    </row>
    <row r="154" spans="1:15" ht="18.75" customHeight="1" x14ac:dyDescent="0.25"/>
    <row r="155" spans="1:15" ht="18.75" customHeight="1" x14ac:dyDescent="0.25"/>
    <row r="156" spans="1:15" ht="18.75" customHeight="1" x14ac:dyDescent="0.25"/>
    <row r="157" spans="1:15" ht="18.75" customHeight="1" x14ac:dyDescent="0.25"/>
    <row r="158" spans="1:15" ht="18.75" customHeight="1" x14ac:dyDescent="0.25"/>
    <row r="159" spans="1:15" ht="18.75" customHeight="1" x14ac:dyDescent="0.25"/>
    <row r="160" spans="1:15" ht="18.75" customHeight="1" x14ac:dyDescent="0.25"/>
    <row r="161" ht="18.75" customHeight="1" x14ac:dyDescent="0.25"/>
    <row r="162" ht="18.75" customHeight="1" x14ac:dyDescent="0.25"/>
    <row r="163" ht="18.75" customHeight="1" x14ac:dyDescent="0.25"/>
    <row r="164" ht="18.75" customHeight="1" x14ac:dyDescent="0.25"/>
    <row r="165" ht="18.75" customHeight="1" x14ac:dyDescent="0.25"/>
    <row r="166" ht="18.75" customHeight="1" x14ac:dyDescent="0.25"/>
    <row r="167" ht="18.75" customHeight="1" x14ac:dyDescent="0.25"/>
    <row r="168" ht="18.75" customHeight="1" x14ac:dyDescent="0.25"/>
    <row r="169" ht="18.75" customHeight="1" x14ac:dyDescent="0.25"/>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pageSetUpPr fitToPage="1"/>
  </sheetPr>
  <dimension ref="A1:L83"/>
  <sheetViews>
    <sheetView view="pageBreakPreview" topLeftCell="A29" zoomScale="55" zoomScaleNormal="40" zoomScaleSheetLayoutView="55" workbookViewId="0">
      <selection activeCell="J72" sqref="J72"/>
    </sheetView>
  </sheetViews>
  <sheetFormatPr defaultColWidth="8.54296875" defaultRowHeight="12.5" x14ac:dyDescent="0.25"/>
  <cols>
    <col min="2" max="2" width="3.453125" style="162" customWidth="1"/>
    <col min="3" max="3" width="7.1796875" style="35" customWidth="1"/>
    <col min="4" max="4" width="84.81640625" style="45" customWidth="1"/>
    <col min="5" max="6" width="12.1796875" style="35" customWidth="1"/>
    <col min="7" max="7" width="20.81640625" style="8" customWidth="1"/>
    <col min="8" max="8" width="20.54296875" style="8" customWidth="1"/>
    <col min="9" max="9" width="19.81640625" style="295" customWidth="1"/>
    <col min="10" max="10" width="22.7265625" style="295" customWidth="1"/>
    <col min="11" max="11" width="1.453125" style="162" customWidth="1"/>
  </cols>
  <sheetData>
    <row r="1" spans="1:12" x14ac:dyDescent="0.25">
      <c r="H1" s="530" t="e" vm="1">
        <v>#VALUE!</v>
      </c>
      <c r="I1" s="530"/>
      <c r="J1" s="530"/>
    </row>
    <row r="2" spans="1:12" x14ac:dyDescent="0.25">
      <c r="H2" s="530"/>
      <c r="I2" s="530"/>
      <c r="J2" s="530"/>
    </row>
    <row r="3" spans="1:12" x14ac:dyDescent="0.25">
      <c r="H3" s="530"/>
      <c r="I3" s="530"/>
      <c r="J3" s="530"/>
    </row>
    <row r="4" spans="1:12" x14ac:dyDescent="0.25">
      <c r="H4" s="530"/>
      <c r="I4" s="530"/>
      <c r="J4" s="530"/>
    </row>
    <row r="5" spans="1:12" x14ac:dyDescent="0.25">
      <c r="A5" s="258"/>
      <c r="B5" s="258"/>
      <c r="G5" s="258"/>
      <c r="H5" s="531"/>
      <c r="I5" s="531"/>
      <c r="J5" s="531"/>
      <c r="K5" s="258"/>
      <c r="L5" s="258"/>
    </row>
    <row r="6" spans="1:12" ht="15.65" customHeight="1" x14ac:dyDescent="0.35">
      <c r="A6" s="258"/>
      <c r="B6" s="258"/>
      <c r="C6" s="551" t="s">
        <v>0</v>
      </c>
      <c r="D6" s="545"/>
      <c r="E6" s="545"/>
      <c r="F6" s="545"/>
      <c r="G6" s="546"/>
      <c r="H6" s="546"/>
      <c r="I6" s="545"/>
      <c r="J6" s="552"/>
      <c r="K6" s="459"/>
      <c r="L6" s="299"/>
    </row>
    <row r="7" spans="1:12" ht="15.65" customHeight="1" x14ac:dyDescent="0.35">
      <c r="A7" s="258"/>
      <c r="B7" s="258"/>
      <c r="C7" s="566" t="str">
        <f>'SECTION 1-P&amp;G'!C8:H8</f>
        <v>ACSA KSIA POWER FACTOR CORRECTION UPGRADE</v>
      </c>
      <c r="D7" s="545"/>
      <c r="E7" s="545"/>
      <c r="F7" s="545"/>
      <c r="G7" s="546"/>
      <c r="H7" s="546"/>
      <c r="I7" s="545"/>
      <c r="J7" s="552"/>
      <c r="K7" s="459"/>
      <c r="L7" s="299"/>
    </row>
    <row r="8" spans="1:12" ht="15.65" customHeight="1" x14ac:dyDescent="0.35">
      <c r="A8" s="258"/>
      <c r="B8" s="258"/>
      <c r="C8" s="615" t="s">
        <v>245</v>
      </c>
      <c r="D8" s="552"/>
      <c r="E8" s="157"/>
      <c r="F8" s="157"/>
      <c r="G8" s="460"/>
      <c r="H8" s="460"/>
      <c r="I8" s="461"/>
      <c r="J8" s="461"/>
      <c r="K8" s="459"/>
      <c r="L8" s="299"/>
    </row>
    <row r="9" spans="1:12" ht="45.75" customHeight="1" x14ac:dyDescent="0.25">
      <c r="A9" s="258"/>
      <c r="B9" s="258"/>
      <c r="C9" s="174" t="s">
        <v>246</v>
      </c>
      <c r="D9" s="175" t="s">
        <v>4</v>
      </c>
      <c r="E9" s="554"/>
      <c r="F9" s="545"/>
      <c r="G9" s="546"/>
      <c r="H9" s="546"/>
      <c r="I9" s="545"/>
      <c r="J9" s="552"/>
      <c r="K9" s="258"/>
      <c r="L9" s="258"/>
    </row>
    <row r="10" spans="1:12" ht="27.65" customHeight="1" x14ac:dyDescent="0.25">
      <c r="A10" s="258"/>
      <c r="B10" s="258"/>
      <c r="C10" s="253"/>
      <c r="D10" s="114" t="s">
        <v>247</v>
      </c>
      <c r="E10" s="611"/>
      <c r="F10" s="545"/>
      <c r="G10" s="546"/>
      <c r="H10" s="546"/>
      <c r="I10" s="545"/>
      <c r="J10" s="552"/>
      <c r="K10" s="258"/>
      <c r="L10" s="258"/>
    </row>
    <row r="11" spans="1:12" ht="36.65" customHeight="1" x14ac:dyDescent="0.3">
      <c r="A11" s="258"/>
      <c r="B11" s="258"/>
      <c r="C11" s="113"/>
      <c r="D11" s="110" t="s">
        <v>248</v>
      </c>
      <c r="E11" s="611"/>
      <c r="F11" s="545"/>
      <c r="G11" s="546"/>
      <c r="H11" s="546"/>
      <c r="I11" s="545"/>
      <c r="J11" s="552"/>
      <c r="K11" s="258"/>
      <c r="L11" s="258"/>
    </row>
    <row r="12" spans="1:12" ht="36.65" customHeight="1" x14ac:dyDescent="0.3">
      <c r="A12" s="258"/>
      <c r="B12" s="258"/>
      <c r="C12" s="113"/>
      <c r="D12" s="110" t="s">
        <v>249</v>
      </c>
      <c r="E12" s="611"/>
      <c r="F12" s="545"/>
      <c r="G12" s="546"/>
      <c r="H12" s="546"/>
      <c r="I12" s="545"/>
      <c r="J12" s="552"/>
      <c r="K12" s="258"/>
      <c r="L12" s="258"/>
    </row>
    <row r="13" spans="1:12" ht="14.15" customHeight="1" x14ac:dyDescent="0.3">
      <c r="A13" s="258"/>
      <c r="B13" s="258"/>
      <c r="C13" s="113"/>
      <c r="D13" s="112"/>
      <c r="E13" s="113" t="s">
        <v>61</v>
      </c>
      <c r="F13" s="113" t="s">
        <v>62</v>
      </c>
      <c r="G13" s="462" t="s">
        <v>63</v>
      </c>
      <c r="H13" s="462" t="s">
        <v>64</v>
      </c>
      <c r="I13" s="463" t="s">
        <v>65</v>
      </c>
      <c r="J13" s="463" t="s">
        <v>66</v>
      </c>
      <c r="K13" s="258"/>
      <c r="L13" s="258"/>
    </row>
    <row r="14" spans="1:12" s="119" customFormat="1" ht="33" customHeight="1" x14ac:dyDescent="0.25">
      <c r="A14" s="258"/>
      <c r="B14" s="464"/>
      <c r="C14" s="138">
        <v>1</v>
      </c>
      <c r="D14" s="141" t="s">
        <v>250</v>
      </c>
      <c r="E14" s="138" t="s">
        <v>35</v>
      </c>
      <c r="F14" s="138" t="s">
        <v>36</v>
      </c>
      <c r="G14" s="465" t="s">
        <v>251</v>
      </c>
      <c r="H14" s="466" t="s">
        <v>252</v>
      </c>
      <c r="I14" s="467" t="s">
        <v>253</v>
      </c>
      <c r="J14" s="468" t="s">
        <v>254</v>
      </c>
      <c r="K14" s="464"/>
      <c r="L14" s="258"/>
    </row>
    <row r="15" spans="1:12" s="119" customFormat="1" ht="78" customHeight="1" x14ac:dyDescent="0.25">
      <c r="A15" s="258"/>
      <c r="B15" s="464"/>
      <c r="C15" s="111">
        <v>1.1000000000000001</v>
      </c>
      <c r="D15" s="185" t="s">
        <v>255</v>
      </c>
      <c r="E15" s="116" t="s">
        <v>42</v>
      </c>
      <c r="F15" s="111">
        <v>1</v>
      </c>
      <c r="G15" s="469"/>
      <c r="H15" s="469"/>
      <c r="I15" s="229">
        <f>G15+H15</f>
        <v>0</v>
      </c>
      <c r="J15" s="229">
        <f>I15*F15</f>
        <v>0</v>
      </c>
      <c r="K15" s="464"/>
      <c r="L15" s="258"/>
    </row>
    <row r="16" spans="1:12" s="119" customFormat="1" ht="94.5" customHeight="1" x14ac:dyDescent="0.25">
      <c r="A16" s="258"/>
      <c r="B16" s="464"/>
      <c r="C16" s="111">
        <v>1.2</v>
      </c>
      <c r="D16" s="118" t="s">
        <v>256</v>
      </c>
      <c r="E16" s="116" t="s">
        <v>42</v>
      </c>
      <c r="F16" s="111">
        <v>1</v>
      </c>
      <c r="G16" s="469"/>
      <c r="H16" s="469"/>
      <c r="I16" s="229">
        <f>G16+H16</f>
        <v>0</v>
      </c>
      <c r="J16" s="229">
        <f>I16*F16</f>
        <v>0</v>
      </c>
      <c r="K16" s="464"/>
      <c r="L16" s="258"/>
    </row>
    <row r="17" spans="1:12" ht="14.15" customHeight="1" x14ac:dyDescent="0.3">
      <c r="A17" s="258"/>
      <c r="B17" s="258"/>
      <c r="C17" s="113"/>
      <c r="D17" s="112"/>
      <c r="E17" s="113" t="s">
        <v>61</v>
      </c>
      <c r="F17" s="113" t="s">
        <v>62</v>
      </c>
      <c r="G17" s="462" t="s">
        <v>63</v>
      </c>
      <c r="H17" s="462" t="s">
        <v>64</v>
      </c>
      <c r="I17" s="463" t="s">
        <v>65</v>
      </c>
      <c r="J17" s="463" t="s">
        <v>66</v>
      </c>
      <c r="K17" s="258"/>
      <c r="L17" s="258"/>
    </row>
    <row r="18" spans="1:12" ht="60" customHeight="1" x14ac:dyDescent="0.3">
      <c r="A18" s="258"/>
      <c r="B18" s="258"/>
      <c r="C18" s="138">
        <v>2</v>
      </c>
      <c r="D18" s="152" t="s">
        <v>257</v>
      </c>
      <c r="E18" s="138" t="s">
        <v>35</v>
      </c>
      <c r="F18" s="138" t="s">
        <v>36</v>
      </c>
      <c r="G18" s="465" t="s">
        <v>251</v>
      </c>
      <c r="H18" s="466" t="s">
        <v>252</v>
      </c>
      <c r="I18" s="467" t="s">
        <v>253</v>
      </c>
      <c r="J18" s="468" t="s">
        <v>254</v>
      </c>
      <c r="K18" s="258"/>
      <c r="L18" s="258"/>
    </row>
    <row r="19" spans="1:12" s="119" customFormat="1" ht="76.5" customHeight="1" x14ac:dyDescent="0.25">
      <c r="A19" s="258"/>
      <c r="B19" s="464"/>
      <c r="C19" s="113">
        <v>2.1</v>
      </c>
      <c r="D19" s="139" t="s">
        <v>258</v>
      </c>
      <c r="E19" s="111" t="s">
        <v>259</v>
      </c>
      <c r="F19" s="111">
        <v>1</v>
      </c>
      <c r="G19" s="469">
        <v>0</v>
      </c>
      <c r="H19" s="469"/>
      <c r="I19" s="229">
        <f>G19+H19</f>
        <v>0</v>
      </c>
      <c r="J19" s="229">
        <f>F19*I19</f>
        <v>0</v>
      </c>
      <c r="K19" s="464"/>
      <c r="L19" s="258"/>
    </row>
    <row r="20" spans="1:12" s="119" customFormat="1" ht="81.75" customHeight="1" x14ac:dyDescent="0.25">
      <c r="A20" s="258"/>
      <c r="B20" s="464"/>
      <c r="C20" s="113">
        <v>2.2000000000000002</v>
      </c>
      <c r="D20" s="139" t="s">
        <v>260</v>
      </c>
      <c r="E20" s="111" t="s">
        <v>259</v>
      </c>
      <c r="F20" s="111" t="s">
        <v>261</v>
      </c>
      <c r="G20" s="469">
        <v>0</v>
      </c>
      <c r="H20" s="469">
        <v>0</v>
      </c>
      <c r="I20" s="229">
        <f>H20+G20</f>
        <v>0</v>
      </c>
      <c r="J20" s="154"/>
      <c r="K20" s="464"/>
      <c r="L20" s="258"/>
    </row>
    <row r="21" spans="1:12" s="119" customFormat="1" ht="76.5" customHeight="1" x14ac:dyDescent="0.25">
      <c r="A21" s="258"/>
      <c r="B21" s="464"/>
      <c r="C21" s="113">
        <v>2.2999999999999998</v>
      </c>
      <c r="D21" s="139" t="s">
        <v>262</v>
      </c>
      <c r="E21" s="111" t="s">
        <v>259</v>
      </c>
      <c r="F21" s="111" t="s">
        <v>261</v>
      </c>
      <c r="G21" s="469">
        <v>0</v>
      </c>
      <c r="H21" s="469">
        <v>0</v>
      </c>
      <c r="I21" s="229">
        <f>H21+G21</f>
        <v>0</v>
      </c>
      <c r="J21" s="154"/>
      <c r="K21" s="464"/>
      <c r="L21" s="258"/>
    </row>
    <row r="22" spans="1:12" s="119" customFormat="1" ht="77.25" customHeight="1" x14ac:dyDescent="0.25">
      <c r="A22" s="258"/>
      <c r="B22" s="464"/>
      <c r="C22" s="113">
        <v>2.4</v>
      </c>
      <c r="D22" s="139" t="s">
        <v>263</v>
      </c>
      <c r="E22" s="111" t="s">
        <v>259</v>
      </c>
      <c r="F22" s="111" t="s">
        <v>261</v>
      </c>
      <c r="G22" s="469">
        <v>0</v>
      </c>
      <c r="H22" s="469">
        <v>0</v>
      </c>
      <c r="I22" s="229">
        <f>H22+G22</f>
        <v>0</v>
      </c>
      <c r="J22" s="154"/>
      <c r="K22" s="464"/>
      <c r="L22" s="258"/>
    </row>
    <row r="23" spans="1:12" s="119" customFormat="1" ht="16.5" customHeight="1" x14ac:dyDescent="0.3">
      <c r="A23" s="258"/>
      <c r="B23" s="464"/>
      <c r="C23" s="113"/>
      <c r="D23" s="139"/>
      <c r="E23" s="113" t="s">
        <v>61</v>
      </c>
      <c r="F23" s="113" t="s">
        <v>62</v>
      </c>
      <c r="G23" s="462" t="s">
        <v>63</v>
      </c>
      <c r="H23" s="462" t="s">
        <v>64</v>
      </c>
      <c r="I23" s="463" t="s">
        <v>65</v>
      </c>
      <c r="J23" s="463" t="s">
        <v>66</v>
      </c>
      <c r="K23" s="464"/>
      <c r="L23" s="258"/>
    </row>
    <row r="24" spans="1:12" s="119" customFormat="1" ht="31.5" customHeight="1" x14ac:dyDescent="0.25">
      <c r="A24" s="258"/>
      <c r="B24" s="464"/>
      <c r="C24" s="138">
        <v>3</v>
      </c>
      <c r="D24" s="141" t="s">
        <v>264</v>
      </c>
      <c r="E24" s="138" t="s">
        <v>35</v>
      </c>
      <c r="F24" s="138" t="s">
        <v>36</v>
      </c>
      <c r="G24" s="465" t="s">
        <v>251</v>
      </c>
      <c r="H24" s="466" t="s">
        <v>252</v>
      </c>
      <c r="I24" s="467" t="s">
        <v>253</v>
      </c>
      <c r="J24" s="468" t="s">
        <v>254</v>
      </c>
      <c r="K24" s="464"/>
      <c r="L24" s="258"/>
    </row>
    <row r="25" spans="1:12" s="119" customFormat="1" ht="34.5" customHeight="1" x14ac:dyDescent="0.25">
      <c r="A25" s="258"/>
      <c r="B25" s="464"/>
      <c r="C25" s="113">
        <v>3.1</v>
      </c>
      <c r="D25" s="140" t="s">
        <v>265</v>
      </c>
      <c r="E25" s="122" t="s">
        <v>85</v>
      </c>
      <c r="F25" s="122" t="s">
        <v>266</v>
      </c>
      <c r="G25" s="469">
        <v>0</v>
      </c>
      <c r="H25" s="469">
        <v>0</v>
      </c>
      <c r="I25" s="229">
        <f t="shared" ref="I25:I30" si="0">G25+H25</f>
        <v>0</v>
      </c>
      <c r="J25" s="154"/>
      <c r="K25" s="464"/>
      <c r="L25" s="258"/>
    </row>
    <row r="26" spans="1:12" s="119" customFormat="1" ht="32.25" customHeight="1" x14ac:dyDescent="0.25">
      <c r="A26" s="258"/>
      <c r="B26" s="464"/>
      <c r="C26" s="113">
        <v>3.2</v>
      </c>
      <c r="D26" s="140" t="s">
        <v>267</v>
      </c>
      <c r="E26" s="122" t="s">
        <v>85</v>
      </c>
      <c r="F26" s="122" t="s">
        <v>266</v>
      </c>
      <c r="G26" s="469">
        <v>0</v>
      </c>
      <c r="H26" s="469">
        <v>0</v>
      </c>
      <c r="I26" s="229">
        <f t="shared" si="0"/>
        <v>0</v>
      </c>
      <c r="J26" s="154"/>
      <c r="K26" s="464"/>
      <c r="L26" s="258"/>
    </row>
    <row r="27" spans="1:12" s="119" customFormat="1" ht="37.5" customHeight="1" x14ac:dyDescent="0.25">
      <c r="A27" s="258"/>
      <c r="B27" s="464"/>
      <c r="C27" s="113">
        <v>3.3</v>
      </c>
      <c r="D27" s="140" t="s">
        <v>268</v>
      </c>
      <c r="E27" s="122" t="s">
        <v>85</v>
      </c>
      <c r="F27" s="122">
        <v>3</v>
      </c>
      <c r="G27" s="469">
        <v>0</v>
      </c>
      <c r="H27" s="469">
        <v>0</v>
      </c>
      <c r="I27" s="229">
        <f t="shared" si="0"/>
        <v>0</v>
      </c>
      <c r="J27" s="229">
        <f>I27*F27</f>
        <v>0</v>
      </c>
      <c r="K27" s="464"/>
      <c r="L27" s="258"/>
    </row>
    <row r="28" spans="1:12" s="119" customFormat="1" ht="30.65" customHeight="1" x14ac:dyDescent="0.25">
      <c r="A28" s="258"/>
      <c r="B28" s="464"/>
      <c r="C28" s="113">
        <v>3.4</v>
      </c>
      <c r="D28" s="139" t="s">
        <v>269</v>
      </c>
      <c r="E28" s="122" t="s">
        <v>90</v>
      </c>
      <c r="F28" s="122">
        <v>1</v>
      </c>
      <c r="G28" s="469">
        <v>0</v>
      </c>
      <c r="H28" s="469">
        <v>0</v>
      </c>
      <c r="I28" s="229">
        <f t="shared" si="0"/>
        <v>0</v>
      </c>
      <c r="J28" s="229">
        <f>I28*F28</f>
        <v>0</v>
      </c>
      <c r="K28" s="464"/>
      <c r="L28" s="258"/>
    </row>
    <row r="29" spans="1:12" s="119" customFormat="1" ht="138" customHeight="1" x14ac:dyDescent="0.25">
      <c r="A29" s="258"/>
      <c r="B29" s="464"/>
      <c r="C29" s="113">
        <v>3.5</v>
      </c>
      <c r="D29" s="178" t="s">
        <v>270</v>
      </c>
      <c r="E29" s="122" t="s">
        <v>90</v>
      </c>
      <c r="F29" s="122">
        <v>1</v>
      </c>
      <c r="G29" s="469">
        <v>0</v>
      </c>
      <c r="H29" s="469">
        <v>0</v>
      </c>
      <c r="I29" s="229">
        <f t="shared" si="0"/>
        <v>0</v>
      </c>
      <c r="J29" s="229">
        <f>I29*F29</f>
        <v>0</v>
      </c>
      <c r="K29" s="464"/>
      <c r="L29" s="258"/>
    </row>
    <row r="30" spans="1:12" s="119" customFormat="1" ht="165" customHeight="1" x14ac:dyDescent="0.25">
      <c r="A30" s="258"/>
      <c r="B30" s="464"/>
      <c r="C30" s="113">
        <v>3.6</v>
      </c>
      <c r="D30" s="178" t="s">
        <v>271</v>
      </c>
      <c r="E30" s="122" t="s">
        <v>90</v>
      </c>
      <c r="F30" s="122">
        <v>3</v>
      </c>
      <c r="G30" s="469">
        <v>0</v>
      </c>
      <c r="H30" s="469">
        <v>0</v>
      </c>
      <c r="I30" s="229">
        <f t="shared" si="0"/>
        <v>0</v>
      </c>
      <c r="J30" s="229">
        <f>I30*F30</f>
        <v>0</v>
      </c>
      <c r="K30" s="464"/>
      <c r="L30" s="258"/>
    </row>
    <row r="31" spans="1:12" s="119" customFormat="1" ht="19.5" customHeight="1" x14ac:dyDescent="0.3">
      <c r="A31" s="258"/>
      <c r="B31" s="464"/>
      <c r="C31" s="113"/>
      <c r="D31" s="178"/>
      <c r="E31" s="113" t="s">
        <v>61</v>
      </c>
      <c r="F31" s="113" t="s">
        <v>62</v>
      </c>
      <c r="G31" s="462" t="s">
        <v>63</v>
      </c>
      <c r="H31" s="462" t="s">
        <v>64</v>
      </c>
      <c r="I31" s="463" t="s">
        <v>65</v>
      </c>
      <c r="J31" s="463" t="s">
        <v>66</v>
      </c>
      <c r="K31" s="464"/>
      <c r="L31" s="258"/>
    </row>
    <row r="32" spans="1:12" s="119" customFormat="1" ht="32.15" customHeight="1" x14ac:dyDescent="0.25">
      <c r="A32" s="258"/>
      <c r="B32" s="464"/>
      <c r="C32" s="138">
        <v>4</v>
      </c>
      <c r="D32" s="141" t="s">
        <v>272</v>
      </c>
      <c r="E32" s="138" t="s">
        <v>35</v>
      </c>
      <c r="F32" s="138" t="s">
        <v>36</v>
      </c>
      <c r="G32" s="465" t="s">
        <v>251</v>
      </c>
      <c r="H32" s="466" t="s">
        <v>252</v>
      </c>
      <c r="I32" s="467" t="s">
        <v>253</v>
      </c>
      <c r="J32" s="468" t="s">
        <v>254</v>
      </c>
      <c r="K32" s="464"/>
      <c r="L32" s="258"/>
    </row>
    <row r="33" spans="1:12" s="119" customFormat="1" ht="49.5" customHeight="1" x14ac:dyDescent="0.25">
      <c r="A33" s="258"/>
      <c r="B33" s="464"/>
      <c r="C33" s="113">
        <v>4.0999999999999996</v>
      </c>
      <c r="D33" s="139" t="s">
        <v>273</v>
      </c>
      <c r="E33" s="111" t="s">
        <v>90</v>
      </c>
      <c r="F33" s="111" t="s">
        <v>266</v>
      </c>
      <c r="G33" s="469"/>
      <c r="H33" s="469"/>
      <c r="I33" s="229">
        <f>G33+H33</f>
        <v>0</v>
      </c>
      <c r="J33" s="154"/>
      <c r="K33" s="464"/>
      <c r="L33" s="258"/>
    </row>
    <row r="34" spans="1:12" s="119" customFormat="1" ht="49.5" customHeight="1" x14ac:dyDescent="0.25">
      <c r="A34" s="258"/>
      <c r="B34" s="464"/>
      <c r="C34" s="113">
        <v>4.2</v>
      </c>
      <c r="D34" s="139" t="s">
        <v>274</v>
      </c>
      <c r="E34" s="111" t="s">
        <v>90</v>
      </c>
      <c r="F34" s="111" t="s">
        <v>266</v>
      </c>
      <c r="G34" s="469"/>
      <c r="H34" s="469"/>
      <c r="I34" s="229">
        <f>G34+H34</f>
        <v>0</v>
      </c>
      <c r="J34" s="154"/>
      <c r="K34" s="464"/>
      <c r="L34" s="258"/>
    </row>
    <row r="35" spans="1:12" s="119" customFormat="1" ht="36" customHeight="1" x14ac:dyDescent="0.25">
      <c r="A35" s="258"/>
      <c r="B35" s="464"/>
      <c r="C35" s="113">
        <v>4.3</v>
      </c>
      <c r="D35" s="139" t="s">
        <v>275</v>
      </c>
      <c r="E35" s="111" t="s">
        <v>90</v>
      </c>
      <c r="F35" s="111">
        <v>1</v>
      </c>
      <c r="G35" s="470">
        <v>0</v>
      </c>
      <c r="H35" s="470"/>
      <c r="I35" s="471">
        <f>G35+H35</f>
        <v>0</v>
      </c>
      <c r="J35" s="229">
        <f>I35*F35</f>
        <v>0</v>
      </c>
      <c r="K35" s="464"/>
      <c r="L35" s="258"/>
    </row>
    <row r="36" spans="1:12" s="119" customFormat="1" ht="35.25" customHeight="1" x14ac:dyDescent="0.25">
      <c r="A36" s="258"/>
      <c r="B36" s="464"/>
      <c r="C36" s="33">
        <v>4.4000000000000004</v>
      </c>
      <c r="D36" s="176" t="s">
        <v>276</v>
      </c>
      <c r="E36" s="177" t="s">
        <v>42</v>
      </c>
      <c r="F36" s="177">
        <v>1</v>
      </c>
      <c r="G36" s="472"/>
      <c r="H36" s="472"/>
      <c r="I36" s="471">
        <f>G36+H36</f>
        <v>0</v>
      </c>
      <c r="J36" s="229">
        <f>I36*F36</f>
        <v>0</v>
      </c>
      <c r="K36" s="464"/>
      <c r="L36" s="258"/>
    </row>
    <row r="37" spans="1:12" s="119" customFormat="1" ht="16.5" customHeight="1" x14ac:dyDescent="0.25">
      <c r="A37" s="258"/>
      <c r="B37" s="464"/>
      <c r="C37" s="138">
        <v>5</v>
      </c>
      <c r="D37" s="141" t="s">
        <v>277</v>
      </c>
      <c r="E37" s="610"/>
      <c r="F37" s="555"/>
      <c r="G37" s="556"/>
      <c r="H37" s="556"/>
      <c r="I37" s="555"/>
      <c r="J37" s="557"/>
      <c r="K37" s="464"/>
      <c r="L37" s="258"/>
    </row>
    <row r="38" spans="1:12" s="119" customFormat="1" ht="28" customHeight="1" x14ac:dyDescent="0.25">
      <c r="A38" s="258"/>
      <c r="B38" s="464"/>
      <c r="C38" s="113">
        <v>5.0999999999999996</v>
      </c>
      <c r="D38" s="142" t="s">
        <v>278</v>
      </c>
      <c r="E38" s="558"/>
      <c r="F38" s="614"/>
      <c r="G38" s="560"/>
      <c r="H38" s="560"/>
      <c r="I38" s="614"/>
      <c r="J38" s="561"/>
      <c r="K38" s="464"/>
      <c r="L38" s="258"/>
    </row>
    <row r="39" spans="1:12" s="119" customFormat="1" ht="14.15" customHeight="1" x14ac:dyDescent="0.25">
      <c r="A39" s="258"/>
      <c r="B39" s="464"/>
      <c r="C39" s="113">
        <v>5.2</v>
      </c>
      <c r="D39" s="141" t="s">
        <v>279</v>
      </c>
      <c r="E39" s="562"/>
      <c r="F39" s="563"/>
      <c r="G39" s="564"/>
      <c r="H39" s="564"/>
      <c r="I39" s="563"/>
      <c r="J39" s="565"/>
      <c r="K39" s="464"/>
      <c r="L39" s="258"/>
    </row>
    <row r="40" spans="1:12" s="119" customFormat="1" ht="42" customHeight="1" x14ac:dyDescent="0.25">
      <c r="A40" s="258"/>
      <c r="B40" s="464"/>
      <c r="C40" s="113"/>
      <c r="D40" s="115" t="s">
        <v>280</v>
      </c>
      <c r="E40" s="610"/>
      <c r="F40" s="545"/>
      <c r="G40" s="546"/>
      <c r="H40" s="546"/>
      <c r="I40" s="545"/>
      <c r="J40" s="552"/>
      <c r="K40" s="464"/>
      <c r="L40" s="258"/>
    </row>
    <row r="41" spans="1:12" s="119" customFormat="1" ht="14.15" customHeight="1" x14ac:dyDescent="0.25">
      <c r="A41" s="258"/>
      <c r="B41" s="464"/>
      <c r="C41" s="111" t="s">
        <v>281</v>
      </c>
      <c r="D41" s="117" t="s">
        <v>282</v>
      </c>
      <c r="E41" s="116" t="s">
        <v>108</v>
      </c>
      <c r="F41" s="111">
        <f>3*20*1.1</f>
        <v>66</v>
      </c>
      <c r="G41" s="473">
        <v>0</v>
      </c>
      <c r="H41" s="473">
        <v>0</v>
      </c>
      <c r="I41" s="212">
        <f>G41+H41</f>
        <v>0</v>
      </c>
      <c r="J41" s="211">
        <f>I41*F41</f>
        <v>0</v>
      </c>
      <c r="K41" s="464"/>
      <c r="L41" s="258"/>
    </row>
    <row r="42" spans="1:12" s="119" customFormat="1" ht="14.15" customHeight="1" x14ac:dyDescent="0.25">
      <c r="A42" s="258"/>
      <c r="B42" s="464"/>
      <c r="C42" s="111" t="s">
        <v>283</v>
      </c>
      <c r="D42" s="117" t="s">
        <v>284</v>
      </c>
      <c r="E42" s="116" t="s">
        <v>108</v>
      </c>
      <c r="F42" s="111">
        <v>1</v>
      </c>
      <c r="G42" s="473"/>
      <c r="H42" s="473"/>
      <c r="I42" s="212">
        <f>G42+H42</f>
        <v>0</v>
      </c>
      <c r="J42" s="214"/>
      <c r="K42" s="464"/>
      <c r="L42" s="258"/>
    </row>
    <row r="43" spans="1:12" s="119" customFormat="1" ht="14.15" customHeight="1" x14ac:dyDescent="0.25">
      <c r="A43" s="258"/>
      <c r="B43" s="464"/>
      <c r="C43" s="111" t="s">
        <v>285</v>
      </c>
      <c r="D43" s="117" t="s">
        <v>286</v>
      </c>
      <c r="E43" s="116" t="s">
        <v>108</v>
      </c>
      <c r="F43" s="111">
        <v>30</v>
      </c>
      <c r="G43" s="473"/>
      <c r="H43" s="473"/>
      <c r="I43" s="212">
        <f>G43+H43</f>
        <v>0</v>
      </c>
      <c r="J43" s="211">
        <f>I43*F43</f>
        <v>0</v>
      </c>
      <c r="K43" s="464"/>
      <c r="L43" s="258"/>
    </row>
    <row r="44" spans="1:12" s="119" customFormat="1" ht="14.15" customHeight="1" x14ac:dyDescent="0.25">
      <c r="A44" s="258"/>
      <c r="B44" s="464"/>
      <c r="C44" s="113">
        <v>5.3</v>
      </c>
      <c r="D44" s="141" t="s">
        <v>287</v>
      </c>
      <c r="E44" s="613"/>
      <c r="F44" s="545"/>
      <c r="G44" s="546"/>
      <c r="H44" s="546"/>
      <c r="I44" s="545"/>
      <c r="J44" s="552"/>
      <c r="K44" s="464"/>
      <c r="L44" s="258"/>
    </row>
    <row r="45" spans="1:12" s="119" customFormat="1" ht="14.15" customHeight="1" x14ac:dyDescent="0.25">
      <c r="A45" s="258"/>
      <c r="B45" s="464"/>
      <c r="C45" s="113"/>
      <c r="D45" s="117" t="s">
        <v>288</v>
      </c>
      <c r="E45" s="612"/>
      <c r="F45" s="545"/>
      <c r="G45" s="546"/>
      <c r="H45" s="546"/>
      <c r="I45" s="545"/>
      <c r="J45" s="552"/>
      <c r="K45" s="464"/>
      <c r="L45" s="258"/>
    </row>
    <row r="46" spans="1:12" s="119" customFormat="1" ht="14.15" customHeight="1" x14ac:dyDescent="0.25">
      <c r="A46" s="258"/>
      <c r="B46" s="464"/>
      <c r="C46" s="111" t="s">
        <v>289</v>
      </c>
      <c r="D46" s="117" t="s">
        <v>290</v>
      </c>
      <c r="E46" s="116" t="s">
        <v>108</v>
      </c>
      <c r="F46" s="144">
        <v>30</v>
      </c>
      <c r="G46" s="473"/>
      <c r="H46" s="473"/>
      <c r="I46" s="212">
        <f>G46+H46</f>
        <v>0</v>
      </c>
      <c r="J46" s="211">
        <f>I46*F46</f>
        <v>0</v>
      </c>
      <c r="K46" s="464"/>
      <c r="L46" s="258"/>
    </row>
    <row r="47" spans="1:12" s="119" customFormat="1" ht="14.15" customHeight="1" x14ac:dyDescent="0.25">
      <c r="A47" s="258"/>
      <c r="B47" s="464"/>
      <c r="C47" s="113">
        <v>5.4</v>
      </c>
      <c r="D47" s="141" t="s">
        <v>291</v>
      </c>
      <c r="E47" s="612"/>
      <c r="F47" s="555"/>
      <c r="G47" s="556"/>
      <c r="H47" s="556"/>
      <c r="I47" s="555"/>
      <c r="J47" s="557"/>
      <c r="K47" s="464"/>
      <c r="L47" s="258"/>
    </row>
    <row r="48" spans="1:12" s="119" customFormat="1" ht="14.15" customHeight="1" x14ac:dyDescent="0.25">
      <c r="A48" s="258"/>
      <c r="B48" s="464"/>
      <c r="C48" s="113"/>
      <c r="D48" s="117"/>
      <c r="E48" s="558"/>
      <c r="F48" s="614"/>
      <c r="G48" s="560"/>
      <c r="H48" s="560"/>
      <c r="I48" s="614"/>
      <c r="J48" s="561"/>
      <c r="K48" s="464"/>
      <c r="L48" s="258"/>
    </row>
    <row r="49" spans="1:12" s="119" customFormat="1" ht="14.15" customHeight="1" x14ac:dyDescent="0.25">
      <c r="A49" s="258"/>
      <c r="B49" s="464"/>
      <c r="C49" s="113"/>
      <c r="D49" s="117" t="s">
        <v>292</v>
      </c>
      <c r="E49" s="558"/>
      <c r="F49" s="614"/>
      <c r="G49" s="560"/>
      <c r="H49" s="560"/>
      <c r="I49" s="614"/>
      <c r="J49" s="561"/>
      <c r="K49" s="464"/>
      <c r="L49" s="258"/>
    </row>
    <row r="50" spans="1:12" s="119" customFormat="1" ht="14.15" customHeight="1" x14ac:dyDescent="0.25">
      <c r="A50" s="258"/>
      <c r="B50" s="464"/>
      <c r="C50" s="121"/>
      <c r="D50" s="115"/>
      <c r="E50" s="562"/>
      <c r="F50" s="563"/>
      <c r="G50" s="564"/>
      <c r="H50" s="564"/>
      <c r="I50" s="563"/>
      <c r="J50" s="565"/>
      <c r="K50" s="464"/>
      <c r="L50" s="258"/>
    </row>
    <row r="51" spans="1:12" s="119" customFormat="1" ht="28" customHeight="1" x14ac:dyDescent="0.25">
      <c r="A51" s="258"/>
      <c r="B51" s="464"/>
      <c r="C51" s="121"/>
      <c r="D51" s="117" t="s">
        <v>174</v>
      </c>
      <c r="E51" s="613"/>
      <c r="F51" s="545"/>
      <c r="G51" s="546"/>
      <c r="H51" s="546"/>
      <c r="I51" s="545"/>
      <c r="J51" s="552"/>
      <c r="K51" s="464"/>
      <c r="L51" s="258"/>
    </row>
    <row r="52" spans="1:12" s="119" customFormat="1" ht="14.15" customHeight="1" x14ac:dyDescent="0.25">
      <c r="A52" s="258"/>
      <c r="B52" s="464"/>
      <c r="C52" s="121"/>
      <c r="D52" s="115"/>
      <c r="E52" s="116"/>
      <c r="F52" s="111"/>
      <c r="G52" s="473"/>
      <c r="H52" s="473"/>
      <c r="I52" s="212">
        <f>G52+H52</f>
        <v>0</v>
      </c>
      <c r="J52" s="211">
        <f>I52*F52</f>
        <v>0</v>
      </c>
      <c r="K52" s="464"/>
      <c r="L52" s="258"/>
    </row>
    <row r="53" spans="1:12" s="474" customFormat="1" ht="14.15" customHeight="1" x14ac:dyDescent="0.25">
      <c r="A53" s="258"/>
      <c r="B53" s="475"/>
      <c r="C53" s="111" t="s">
        <v>293</v>
      </c>
      <c r="D53" s="117" t="s">
        <v>282</v>
      </c>
      <c r="E53" s="116" t="s">
        <v>85</v>
      </c>
      <c r="F53" s="111">
        <v>10</v>
      </c>
      <c r="G53" s="473"/>
      <c r="H53" s="473"/>
      <c r="I53" s="212">
        <f>G53+H53</f>
        <v>0</v>
      </c>
      <c r="J53" s="211">
        <f>I53*F53</f>
        <v>0</v>
      </c>
      <c r="K53" s="464"/>
      <c r="L53" s="476"/>
    </row>
    <row r="54" spans="1:12" s="119" customFormat="1" ht="14.15" customHeight="1" x14ac:dyDescent="0.25">
      <c r="A54" s="258"/>
      <c r="B54" s="464"/>
      <c r="C54" s="111" t="s">
        <v>294</v>
      </c>
      <c r="D54" s="117" t="s">
        <v>284</v>
      </c>
      <c r="E54" s="116" t="s">
        <v>108</v>
      </c>
      <c r="F54" s="111">
        <v>1</v>
      </c>
      <c r="G54" s="473"/>
      <c r="H54" s="473"/>
      <c r="I54" s="212">
        <f>G54+H54</f>
        <v>0</v>
      </c>
      <c r="J54" s="214"/>
      <c r="K54" s="464"/>
      <c r="L54" s="258"/>
    </row>
    <row r="55" spans="1:12" s="474" customFormat="1" ht="14.15" customHeight="1" x14ac:dyDescent="0.25">
      <c r="A55" s="258"/>
      <c r="B55" s="475"/>
      <c r="C55" s="111" t="s">
        <v>295</v>
      </c>
      <c r="D55" s="117" t="s">
        <v>177</v>
      </c>
      <c r="E55" s="116" t="s">
        <v>85</v>
      </c>
      <c r="F55" s="111">
        <v>10</v>
      </c>
      <c r="G55" s="473"/>
      <c r="H55" s="473"/>
      <c r="I55" s="212">
        <f>G55+H55</f>
        <v>0</v>
      </c>
      <c r="J55" s="211">
        <f>I55*F55</f>
        <v>0</v>
      </c>
      <c r="K55" s="464"/>
      <c r="L55" s="476"/>
    </row>
    <row r="56" spans="1:12" s="474" customFormat="1" ht="14.15" customHeight="1" x14ac:dyDescent="0.25">
      <c r="A56" s="258"/>
      <c r="B56" s="475"/>
      <c r="C56" s="111" t="s">
        <v>296</v>
      </c>
      <c r="D56" s="117" t="s">
        <v>297</v>
      </c>
      <c r="E56" s="116" t="s">
        <v>85</v>
      </c>
      <c r="F56" s="111">
        <v>10</v>
      </c>
      <c r="G56" s="473"/>
      <c r="H56" s="473"/>
      <c r="I56" s="212">
        <f>G56+H56</f>
        <v>0</v>
      </c>
      <c r="J56" s="211">
        <f>I56*F56</f>
        <v>0</v>
      </c>
      <c r="K56" s="464"/>
      <c r="L56" s="476"/>
    </row>
    <row r="57" spans="1:12" s="119" customFormat="1" ht="14.15" customHeight="1" x14ac:dyDescent="0.3">
      <c r="A57" s="258"/>
      <c r="B57" s="464"/>
      <c r="C57" s="121"/>
      <c r="D57" s="115"/>
      <c r="E57" s="113" t="s">
        <v>61</v>
      </c>
      <c r="F57" s="113" t="s">
        <v>62</v>
      </c>
      <c r="G57" s="462" t="s">
        <v>63</v>
      </c>
      <c r="H57" s="462" t="s">
        <v>64</v>
      </c>
      <c r="I57" s="463" t="s">
        <v>65</v>
      </c>
      <c r="J57" s="463" t="s">
        <v>66</v>
      </c>
      <c r="K57" s="464"/>
      <c r="L57" s="258"/>
    </row>
    <row r="58" spans="1:12" s="119" customFormat="1" ht="28" customHeight="1" x14ac:dyDescent="0.25">
      <c r="A58" s="258"/>
      <c r="B58" s="464"/>
      <c r="C58" s="113">
        <v>5.5</v>
      </c>
      <c r="D58" s="141" t="s">
        <v>298</v>
      </c>
      <c r="E58" s="138" t="s">
        <v>35</v>
      </c>
      <c r="F58" s="138" t="s">
        <v>36</v>
      </c>
      <c r="G58" s="465" t="s">
        <v>251</v>
      </c>
      <c r="H58" s="466" t="s">
        <v>252</v>
      </c>
      <c r="I58" s="467" t="s">
        <v>253</v>
      </c>
      <c r="J58" s="468" t="s">
        <v>254</v>
      </c>
      <c r="K58" s="464"/>
      <c r="L58" s="258"/>
    </row>
    <row r="59" spans="1:12" s="119" customFormat="1" ht="42.65" customHeight="1" x14ac:dyDescent="0.25">
      <c r="A59" s="258"/>
      <c r="B59" s="464"/>
      <c r="C59" s="111" t="s">
        <v>299</v>
      </c>
      <c r="D59" s="117" t="s">
        <v>199</v>
      </c>
      <c r="E59" s="116" t="s">
        <v>108</v>
      </c>
      <c r="F59" s="111">
        <v>30</v>
      </c>
      <c r="G59" s="473"/>
      <c r="H59" s="473"/>
      <c r="I59" s="212">
        <f>G59+H59</f>
        <v>0</v>
      </c>
      <c r="J59" s="212">
        <f>I59*F59</f>
        <v>0</v>
      </c>
      <c r="K59" s="464"/>
      <c r="L59" s="258"/>
    </row>
    <row r="60" spans="1:12" s="119" customFormat="1" ht="42.65" customHeight="1" x14ac:dyDescent="0.25">
      <c r="A60" s="258"/>
      <c r="B60" s="464"/>
      <c r="C60" s="111" t="s">
        <v>300</v>
      </c>
      <c r="D60" s="117" t="s">
        <v>301</v>
      </c>
      <c r="E60" s="116" t="s">
        <v>42</v>
      </c>
      <c r="F60" s="111">
        <v>1</v>
      </c>
      <c r="G60" s="473"/>
      <c r="H60" s="473"/>
      <c r="I60" s="212">
        <f>G60+H60</f>
        <v>0</v>
      </c>
      <c r="J60" s="212">
        <f>I60*F60</f>
        <v>0</v>
      </c>
      <c r="K60" s="464"/>
      <c r="L60" s="258"/>
    </row>
    <row r="61" spans="1:12" s="119" customFormat="1" ht="14.15" customHeight="1" x14ac:dyDescent="0.25">
      <c r="A61" s="258"/>
      <c r="B61" s="464"/>
      <c r="C61" s="113">
        <v>5.6</v>
      </c>
      <c r="D61" s="141" t="s">
        <v>302</v>
      </c>
      <c r="E61" s="610"/>
      <c r="F61" s="545"/>
      <c r="G61" s="546"/>
      <c r="H61" s="546"/>
      <c r="I61" s="545"/>
      <c r="J61" s="552"/>
      <c r="K61" s="464"/>
      <c r="L61" s="258"/>
    </row>
    <row r="62" spans="1:12" s="119" customFormat="1" ht="14.15" customHeight="1" x14ac:dyDescent="0.25">
      <c r="A62" s="258"/>
      <c r="B62" s="464"/>
      <c r="C62" s="113"/>
      <c r="D62" s="117" t="s">
        <v>303</v>
      </c>
      <c r="E62" s="613"/>
      <c r="F62" s="545"/>
      <c r="G62" s="546"/>
      <c r="H62" s="546"/>
      <c r="I62" s="545"/>
      <c r="J62" s="552"/>
      <c r="K62" s="464"/>
      <c r="L62" s="258"/>
    </row>
    <row r="63" spans="1:12" s="173" customFormat="1" ht="30.75" customHeight="1" x14ac:dyDescent="0.25">
      <c r="A63" s="258"/>
      <c r="B63" s="258"/>
      <c r="C63" s="180" t="s">
        <v>304</v>
      </c>
      <c r="D63" s="181" t="s">
        <v>305</v>
      </c>
      <c r="E63" s="182" t="s">
        <v>108</v>
      </c>
      <c r="F63" s="180">
        <v>30</v>
      </c>
      <c r="G63" s="477"/>
      <c r="H63" s="477"/>
      <c r="I63" s="212">
        <f t="shared" ref="I63:I68" si="1">G63+H63</f>
        <v>0</v>
      </c>
      <c r="J63" s="213">
        <f t="shared" ref="J63:J68" si="2">I63*F63</f>
        <v>0</v>
      </c>
      <c r="K63" s="258"/>
      <c r="L63" s="258"/>
    </row>
    <row r="64" spans="1:12" s="173" customFormat="1" ht="30.75" customHeight="1" x14ac:dyDescent="0.25">
      <c r="A64" s="258"/>
      <c r="B64" s="258"/>
      <c r="C64" s="180" t="s">
        <v>306</v>
      </c>
      <c r="D64" s="181" t="s">
        <v>307</v>
      </c>
      <c r="E64" s="182" t="s">
        <v>108</v>
      </c>
      <c r="F64" s="180">
        <v>30</v>
      </c>
      <c r="G64" s="477"/>
      <c r="H64" s="477"/>
      <c r="I64" s="212">
        <f t="shared" si="1"/>
        <v>0</v>
      </c>
      <c r="J64" s="213">
        <f t="shared" si="2"/>
        <v>0</v>
      </c>
      <c r="K64" s="258"/>
      <c r="L64" s="258"/>
    </row>
    <row r="65" spans="1:12" s="173" customFormat="1" ht="30.75" customHeight="1" x14ac:dyDescent="0.25">
      <c r="A65" s="258"/>
      <c r="B65" s="258"/>
      <c r="C65" s="180" t="s">
        <v>308</v>
      </c>
      <c r="D65" s="181" t="s">
        <v>309</v>
      </c>
      <c r="E65" s="182" t="s">
        <v>108</v>
      </c>
      <c r="F65" s="180">
        <v>30</v>
      </c>
      <c r="G65" s="477"/>
      <c r="H65" s="477"/>
      <c r="I65" s="212">
        <f t="shared" si="1"/>
        <v>0</v>
      </c>
      <c r="J65" s="213">
        <f t="shared" si="2"/>
        <v>0</v>
      </c>
      <c r="K65" s="258"/>
      <c r="L65" s="258"/>
    </row>
    <row r="66" spans="1:12" s="173" customFormat="1" ht="47.15" customHeight="1" x14ac:dyDescent="0.25">
      <c r="A66" s="258"/>
      <c r="B66" s="258"/>
      <c r="C66" s="180" t="s">
        <v>310</v>
      </c>
      <c r="D66" s="183" t="s">
        <v>311</v>
      </c>
      <c r="E66" s="182" t="s">
        <v>108</v>
      </c>
      <c r="F66" s="180">
        <v>30</v>
      </c>
      <c r="G66" s="477"/>
      <c r="H66" s="477"/>
      <c r="I66" s="212">
        <f t="shared" si="1"/>
        <v>0</v>
      </c>
      <c r="J66" s="213">
        <f t="shared" si="2"/>
        <v>0</v>
      </c>
      <c r="K66" s="258"/>
      <c r="L66" s="258"/>
    </row>
    <row r="67" spans="1:12" s="173" customFormat="1" ht="47.15" customHeight="1" x14ac:dyDescent="0.25">
      <c r="A67" s="258"/>
      <c r="B67" s="258"/>
      <c r="C67" s="180" t="s">
        <v>312</v>
      </c>
      <c r="D67" s="183" t="s">
        <v>313</v>
      </c>
      <c r="E67" s="182" t="s">
        <v>108</v>
      </c>
      <c r="F67" s="180">
        <v>30</v>
      </c>
      <c r="G67" s="477"/>
      <c r="H67" s="477"/>
      <c r="I67" s="212">
        <f t="shared" si="1"/>
        <v>0</v>
      </c>
      <c r="J67" s="213">
        <f t="shared" si="2"/>
        <v>0</v>
      </c>
      <c r="K67" s="258"/>
      <c r="L67" s="258"/>
    </row>
    <row r="68" spans="1:12" s="173" customFormat="1" ht="47.15" customHeight="1" x14ac:dyDescent="0.25">
      <c r="A68" s="258"/>
      <c r="B68" s="258"/>
      <c r="C68" s="180" t="s">
        <v>314</v>
      </c>
      <c r="D68" s="181" t="s">
        <v>315</v>
      </c>
      <c r="E68" s="182" t="s">
        <v>108</v>
      </c>
      <c r="F68" s="180">
        <v>30</v>
      </c>
      <c r="G68" s="477">
        <v>0</v>
      </c>
      <c r="H68" s="477">
        <v>0</v>
      </c>
      <c r="I68" s="212">
        <f t="shared" si="1"/>
        <v>0</v>
      </c>
      <c r="J68" s="213">
        <f t="shared" si="2"/>
        <v>0</v>
      </c>
      <c r="K68" s="258"/>
      <c r="L68" s="258"/>
    </row>
    <row r="69" spans="1:12" s="119" customFormat="1" ht="16.5" customHeight="1" x14ac:dyDescent="0.25">
      <c r="A69" s="258"/>
      <c r="B69" s="464"/>
      <c r="C69" s="138">
        <v>6</v>
      </c>
      <c r="D69" s="141" t="s">
        <v>316</v>
      </c>
      <c r="E69" s="610"/>
      <c r="F69" s="545"/>
      <c r="G69" s="546"/>
      <c r="H69" s="546"/>
      <c r="I69" s="545"/>
      <c r="J69" s="552"/>
      <c r="K69" s="464"/>
      <c r="L69" s="258"/>
    </row>
    <row r="70" spans="1:12" s="119" customFormat="1" ht="48" customHeight="1" x14ac:dyDescent="0.25">
      <c r="A70" s="258"/>
      <c r="B70" s="464"/>
      <c r="C70" s="111">
        <v>6.1</v>
      </c>
      <c r="D70" s="117" t="s">
        <v>317</v>
      </c>
      <c r="E70" s="116" t="s">
        <v>42</v>
      </c>
      <c r="F70" s="111">
        <v>1</v>
      </c>
      <c r="G70" s="473"/>
      <c r="H70" s="473"/>
      <c r="I70" s="212">
        <f>G70+H70</f>
        <v>0</v>
      </c>
      <c r="J70" s="212">
        <f>I70*F70</f>
        <v>0</v>
      </c>
      <c r="K70" s="464"/>
      <c r="L70" s="258"/>
    </row>
    <row r="71" spans="1:12" s="119" customFormat="1" ht="26.25" customHeight="1" x14ac:dyDescent="0.25">
      <c r="A71" s="258"/>
      <c r="B71" s="464"/>
      <c r="C71" s="111">
        <v>6.2</v>
      </c>
      <c r="D71" s="117" t="s">
        <v>318</v>
      </c>
      <c r="E71" s="116" t="s">
        <v>42</v>
      </c>
      <c r="F71" s="111">
        <v>1</v>
      </c>
      <c r="G71" s="473"/>
      <c r="H71" s="473"/>
      <c r="I71" s="212">
        <f>G71+H71</f>
        <v>0</v>
      </c>
      <c r="J71" s="212">
        <f>I71*F71</f>
        <v>0</v>
      </c>
      <c r="K71" s="464"/>
      <c r="L71" s="258"/>
    </row>
    <row r="72" spans="1:12" s="119" customFormat="1" ht="26.25" customHeight="1" x14ac:dyDescent="0.25">
      <c r="A72" s="258"/>
      <c r="B72" s="464"/>
      <c r="C72" s="111">
        <v>6.3</v>
      </c>
      <c r="D72" s="117" t="s">
        <v>319</v>
      </c>
      <c r="E72" s="116" t="s">
        <v>42</v>
      </c>
      <c r="F72" s="111">
        <v>1</v>
      </c>
      <c r="G72" s="473"/>
      <c r="H72" s="473"/>
      <c r="I72" s="212">
        <f>G72+H72</f>
        <v>0</v>
      </c>
      <c r="J72" s="212">
        <f>I72*F72</f>
        <v>0</v>
      </c>
      <c r="K72" s="464"/>
      <c r="L72" s="258"/>
    </row>
    <row r="73" spans="1:12" s="119" customFormat="1" ht="26.25" customHeight="1" x14ac:dyDescent="0.25">
      <c r="A73" s="258"/>
      <c r="B73" s="464"/>
      <c r="C73" s="111">
        <v>6.4</v>
      </c>
      <c r="D73" s="117" t="s">
        <v>320</v>
      </c>
      <c r="E73" s="116" t="s">
        <v>42</v>
      </c>
      <c r="F73" s="111">
        <v>1</v>
      </c>
      <c r="G73" s="473"/>
      <c r="H73" s="473"/>
      <c r="I73" s="212">
        <f>G73+H73</f>
        <v>0</v>
      </c>
      <c r="J73" s="212">
        <f>I73*F73</f>
        <v>0</v>
      </c>
      <c r="K73" s="464"/>
      <c r="L73" s="258"/>
    </row>
    <row r="74" spans="1:12" s="119" customFormat="1" ht="14.15" customHeight="1" x14ac:dyDescent="0.25">
      <c r="A74" s="258"/>
      <c r="B74" s="464"/>
      <c r="C74" s="138">
        <v>7</v>
      </c>
      <c r="D74" s="141" t="s">
        <v>321</v>
      </c>
      <c r="E74" s="610"/>
      <c r="F74" s="545"/>
      <c r="G74" s="546"/>
      <c r="H74" s="546"/>
      <c r="I74" s="545"/>
      <c r="J74" s="552"/>
      <c r="K74" s="464"/>
      <c r="L74" s="258"/>
    </row>
    <row r="75" spans="1:12" s="119" customFormat="1" ht="44.15" customHeight="1" thickBot="1" x14ac:dyDescent="0.3">
      <c r="A75" s="258"/>
      <c r="B75" s="464"/>
      <c r="C75" s="111">
        <v>7.1</v>
      </c>
      <c r="D75" s="215" t="s">
        <v>450</v>
      </c>
      <c r="E75" s="216" t="s">
        <v>42</v>
      </c>
      <c r="F75" s="216">
        <v>1</v>
      </c>
      <c r="G75" s="478"/>
      <c r="H75" s="478"/>
      <c r="I75" s="217">
        <f>G75+H75</f>
        <v>0</v>
      </c>
      <c r="J75" s="231">
        <f>I75*F75</f>
        <v>0</v>
      </c>
      <c r="K75" s="464"/>
      <c r="L75" s="258"/>
    </row>
    <row r="76" spans="1:12" s="119" customFormat="1" ht="18.75" customHeight="1" thickBot="1" x14ac:dyDescent="0.3">
      <c r="A76" s="258"/>
      <c r="B76" s="464"/>
      <c r="C76" s="254"/>
      <c r="D76" s="218" t="s">
        <v>322</v>
      </c>
      <c r="E76" s="607"/>
      <c r="F76" s="588"/>
      <c r="G76" s="608"/>
      <c r="H76" s="608"/>
      <c r="I76" s="609"/>
      <c r="J76" s="479">
        <f>SUM(J15:J75)</f>
        <v>0</v>
      </c>
      <c r="K76" s="464"/>
      <c r="L76" s="258"/>
    </row>
    <row r="77" spans="1:12" s="165" customFormat="1" ht="28.5" customHeight="1" thickBot="1" x14ac:dyDescent="0.3">
      <c r="A77" s="258"/>
      <c r="B77" s="258"/>
      <c r="C77" s="532" t="s">
        <v>456</v>
      </c>
      <c r="D77" s="533"/>
      <c r="E77" s="533"/>
      <c r="F77" s="533"/>
      <c r="G77" s="533"/>
      <c r="H77" s="533"/>
      <c r="I77" s="533"/>
      <c r="J77" s="534"/>
      <c r="K77" s="286"/>
      <c r="L77" s="286"/>
    </row>
    <row r="78" spans="1:12" ht="27.75" customHeight="1" x14ac:dyDescent="0.25">
      <c r="C78" s="535" t="s">
        <v>459</v>
      </c>
      <c r="D78" s="536"/>
      <c r="E78" s="536"/>
      <c r="F78" s="536"/>
      <c r="G78" s="536"/>
      <c r="H78" s="536"/>
      <c r="I78" s="536"/>
      <c r="J78" s="537"/>
    </row>
    <row r="79" spans="1:12" x14ac:dyDescent="0.25">
      <c r="C79" s="538"/>
      <c r="D79" s="539"/>
      <c r="E79" s="539"/>
      <c r="F79" s="539"/>
      <c r="G79" s="539"/>
      <c r="H79" s="539"/>
      <c r="I79" s="539"/>
      <c r="J79" s="540"/>
    </row>
    <row r="80" spans="1:12" ht="22.5" customHeight="1" x14ac:dyDescent="0.25">
      <c r="C80" s="538"/>
      <c r="D80" s="539"/>
      <c r="E80" s="539"/>
      <c r="F80" s="539"/>
      <c r="G80" s="539"/>
      <c r="H80" s="539"/>
      <c r="I80" s="539"/>
      <c r="J80" s="540"/>
    </row>
    <row r="81" spans="3:10" x14ac:dyDescent="0.25">
      <c r="C81" s="538"/>
      <c r="D81" s="539"/>
      <c r="E81" s="539"/>
      <c r="F81" s="539"/>
      <c r="G81" s="539"/>
      <c r="H81" s="539"/>
      <c r="I81" s="539"/>
      <c r="J81" s="540"/>
    </row>
    <row r="82" spans="3:10" x14ac:dyDescent="0.25">
      <c r="C82" s="538"/>
      <c r="D82" s="539"/>
      <c r="E82" s="539"/>
      <c r="F82" s="539"/>
      <c r="G82" s="539"/>
      <c r="H82" s="539"/>
      <c r="I82" s="539"/>
      <c r="J82" s="540"/>
    </row>
    <row r="83" spans="3:10" ht="84" customHeight="1" thickBot="1" x14ac:dyDescent="0.3">
      <c r="C83" s="541"/>
      <c r="D83" s="542"/>
      <c r="E83" s="542"/>
      <c r="F83" s="542"/>
      <c r="G83" s="542"/>
      <c r="H83" s="542"/>
      <c r="I83" s="542"/>
      <c r="J83" s="543"/>
    </row>
  </sheetData>
  <sheetProtection algorithmName="SHA-512" hashValue="dDHLhA3XL8K0sPjFaQsYuwWLVKVNqCFePyv9binnpp/kc3cf4hzxeu86/2UTu1be0eKssNGjacXtvIVujQEkgw==" saltValue="zf+oVsn732j5pISxTnGDLQ==" spinCount="100000" sheet="1" objects="1" scenarios="1"/>
  <mergeCells count="21">
    <mergeCell ref="E12:J12"/>
    <mergeCell ref="C7:J7"/>
    <mergeCell ref="E10:J10"/>
    <mergeCell ref="C8:D8"/>
    <mergeCell ref="E61:J61"/>
    <mergeCell ref="C77:J77"/>
    <mergeCell ref="C78:J83"/>
    <mergeCell ref="H1:J5"/>
    <mergeCell ref="E76:I76"/>
    <mergeCell ref="E74:J74"/>
    <mergeCell ref="E11:J11"/>
    <mergeCell ref="E45:J45"/>
    <mergeCell ref="E44:J44"/>
    <mergeCell ref="E69:J69"/>
    <mergeCell ref="E40:J40"/>
    <mergeCell ref="E47:J50"/>
    <mergeCell ref="C6:J6"/>
    <mergeCell ref="E51:J51"/>
    <mergeCell ref="E62:J62"/>
    <mergeCell ref="E37:J39"/>
    <mergeCell ref="E9:J9"/>
  </mergeCells>
  <printOptions horizontalCentered="1"/>
  <pageMargins left="0.25" right="0.25" top="0.75" bottom="0.75" header="0.3" footer="0.3"/>
  <pageSetup paperSize="9" scale="49" fitToHeight="0"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rowBreaks count="1" manualBreakCount="1">
    <brk id="30" min="1" max="1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L84"/>
  <sheetViews>
    <sheetView view="pageBreakPreview" topLeftCell="A30" zoomScale="55" zoomScaleNormal="90" zoomScaleSheetLayoutView="55" workbookViewId="0">
      <selection activeCell="H1" sqref="H1:J5"/>
    </sheetView>
  </sheetViews>
  <sheetFormatPr defaultColWidth="8.54296875" defaultRowHeight="12.5" x14ac:dyDescent="0.25"/>
  <cols>
    <col min="2" max="2" width="2.81640625" style="162" customWidth="1"/>
    <col min="3" max="3" width="16.453125" style="35" customWidth="1"/>
    <col min="4" max="4" width="81.453125" style="45" customWidth="1"/>
    <col min="5" max="5" width="7.54296875" style="35" customWidth="1"/>
    <col min="6" max="6" width="14.453125" style="35" customWidth="1"/>
    <col min="7" max="7" width="17.453125" style="8" customWidth="1"/>
    <col min="8" max="8" width="13.81640625" style="8" customWidth="1"/>
    <col min="9" max="9" width="14.54296875" style="295" customWidth="1"/>
    <col min="10" max="10" width="19.1796875" style="295" customWidth="1"/>
    <col min="11" max="11" width="3.453125" style="162" customWidth="1"/>
  </cols>
  <sheetData>
    <row r="1" spans="1:12" x14ac:dyDescent="0.25">
      <c r="H1" s="530" t="e" vm="1">
        <v>#VALUE!</v>
      </c>
      <c r="I1" s="530"/>
      <c r="J1" s="530"/>
    </row>
    <row r="2" spans="1:12" x14ac:dyDescent="0.25">
      <c r="H2" s="530"/>
      <c r="I2" s="530"/>
      <c r="J2" s="530"/>
    </row>
    <row r="3" spans="1:12" x14ac:dyDescent="0.25">
      <c r="H3" s="530"/>
      <c r="I3" s="530"/>
      <c r="J3" s="530"/>
    </row>
    <row r="4" spans="1:12" x14ac:dyDescent="0.25">
      <c r="H4" s="530"/>
      <c r="I4" s="530"/>
      <c r="J4" s="530"/>
    </row>
    <row r="5" spans="1:12" x14ac:dyDescent="0.25">
      <c r="H5" s="531"/>
      <c r="I5" s="531"/>
      <c r="J5" s="531"/>
    </row>
    <row r="6" spans="1:12" ht="15.65" customHeight="1" x14ac:dyDescent="0.35">
      <c r="A6" s="258"/>
      <c r="B6" s="258"/>
      <c r="C6" s="551" t="s">
        <v>0</v>
      </c>
      <c r="D6" s="545"/>
      <c r="E6" s="545"/>
      <c r="F6" s="545"/>
      <c r="G6" s="546"/>
      <c r="H6" s="546"/>
      <c r="I6" s="545"/>
      <c r="J6" s="552"/>
      <c r="K6" s="459"/>
      <c r="L6" s="299"/>
    </row>
    <row r="7" spans="1:12" ht="15.65" customHeight="1" x14ac:dyDescent="0.35">
      <c r="A7" s="258"/>
      <c r="B7" s="258"/>
      <c r="C7" s="566" t="str">
        <f>'SECTION 1-P&amp;G'!C8</f>
        <v>ACSA KSIA POWER FACTOR CORRECTION UPGRADE</v>
      </c>
      <c r="D7" s="545"/>
      <c r="E7" s="545"/>
      <c r="F7" s="545"/>
      <c r="G7" s="546"/>
      <c r="H7" s="546"/>
      <c r="I7" s="545"/>
      <c r="J7" s="552"/>
      <c r="K7" s="459"/>
      <c r="L7" s="299"/>
    </row>
    <row r="8" spans="1:12" ht="15.65" customHeight="1" x14ac:dyDescent="0.35">
      <c r="A8" s="258"/>
      <c r="B8" s="258"/>
      <c r="C8" s="615" t="s">
        <v>323</v>
      </c>
      <c r="D8" s="545"/>
      <c r="E8" s="545"/>
      <c r="F8" s="545"/>
      <c r="G8" s="546"/>
      <c r="H8" s="546"/>
      <c r="I8" s="545"/>
      <c r="J8" s="552"/>
      <c r="K8" s="459"/>
      <c r="L8" s="299"/>
    </row>
    <row r="9" spans="1:12" ht="45.75" customHeight="1" x14ac:dyDescent="0.25">
      <c r="A9" s="258"/>
      <c r="B9" s="258"/>
      <c r="C9" s="186" t="s">
        <v>324</v>
      </c>
      <c r="D9" s="188" t="s">
        <v>4</v>
      </c>
      <c r="E9" s="33" t="s">
        <v>35</v>
      </c>
      <c r="F9" s="33" t="s">
        <v>36</v>
      </c>
      <c r="G9" s="314" t="s">
        <v>325</v>
      </c>
      <c r="H9" s="317" t="s">
        <v>252</v>
      </c>
      <c r="I9" s="480" t="s">
        <v>253</v>
      </c>
      <c r="J9" s="481" t="s">
        <v>254</v>
      </c>
      <c r="K9" s="258"/>
      <c r="L9" s="258"/>
    </row>
    <row r="10" spans="1:12" ht="27.65" customHeight="1" x14ac:dyDescent="0.25">
      <c r="A10" s="258"/>
      <c r="B10" s="258"/>
      <c r="C10" s="253"/>
      <c r="D10" s="114" t="s">
        <v>247</v>
      </c>
      <c r="E10" s="623"/>
      <c r="F10" s="555"/>
      <c r="G10" s="556"/>
      <c r="H10" s="556"/>
      <c r="I10" s="555"/>
      <c r="J10" s="557"/>
      <c r="K10" s="258"/>
      <c r="L10" s="258"/>
    </row>
    <row r="11" spans="1:12" ht="28" customHeight="1" x14ac:dyDescent="0.3">
      <c r="A11" s="258"/>
      <c r="B11" s="258"/>
      <c r="C11" s="113"/>
      <c r="D11" s="110" t="s">
        <v>248</v>
      </c>
      <c r="E11" s="558"/>
      <c r="F11" s="559"/>
      <c r="G11" s="560"/>
      <c r="H11" s="560"/>
      <c r="I11" s="530"/>
      <c r="J11" s="561"/>
      <c r="K11" s="258"/>
      <c r="L11" s="258"/>
    </row>
    <row r="12" spans="1:12" ht="47.15" customHeight="1" x14ac:dyDescent="0.25">
      <c r="A12" s="258"/>
      <c r="B12" s="258"/>
      <c r="C12" s="113"/>
      <c r="D12" s="178" t="s">
        <v>249</v>
      </c>
      <c r="E12" s="562"/>
      <c r="F12" s="563"/>
      <c r="G12" s="564"/>
      <c r="H12" s="564"/>
      <c r="I12" s="563"/>
      <c r="J12" s="565"/>
      <c r="K12" s="258"/>
      <c r="L12" s="258"/>
    </row>
    <row r="13" spans="1:12" ht="17.149999999999999" customHeight="1" x14ac:dyDescent="0.3">
      <c r="A13" s="258"/>
      <c r="B13" s="258"/>
      <c r="C13" s="113"/>
      <c r="D13" s="178"/>
      <c r="E13" s="113" t="s">
        <v>61</v>
      </c>
      <c r="F13" s="113" t="s">
        <v>62</v>
      </c>
      <c r="G13" s="462" t="s">
        <v>63</v>
      </c>
      <c r="H13" s="462" t="s">
        <v>64</v>
      </c>
      <c r="I13" s="463" t="s">
        <v>65</v>
      </c>
      <c r="J13" s="463" t="s">
        <v>66</v>
      </c>
      <c r="K13" s="258"/>
      <c r="L13" s="258"/>
    </row>
    <row r="14" spans="1:12" s="119" customFormat="1" ht="35.15" customHeight="1" x14ac:dyDescent="0.25">
      <c r="A14" s="258"/>
      <c r="B14" s="464"/>
      <c r="C14" s="138">
        <v>1</v>
      </c>
      <c r="D14" s="141" t="s">
        <v>250</v>
      </c>
      <c r="E14" s="33" t="s">
        <v>35</v>
      </c>
      <c r="F14" s="33" t="s">
        <v>36</v>
      </c>
      <c r="G14" s="314" t="s">
        <v>325</v>
      </c>
      <c r="H14" s="317" t="s">
        <v>252</v>
      </c>
      <c r="I14" s="480" t="s">
        <v>253</v>
      </c>
      <c r="J14" s="481" t="s">
        <v>254</v>
      </c>
      <c r="K14" s="464"/>
      <c r="L14" s="258"/>
    </row>
    <row r="15" spans="1:12" s="119" customFormat="1" ht="92.15" customHeight="1" x14ac:dyDescent="0.25">
      <c r="A15" s="258"/>
      <c r="B15" s="464"/>
      <c r="C15" s="111">
        <v>1.1000000000000001</v>
      </c>
      <c r="D15" s="118" t="s">
        <v>326</v>
      </c>
      <c r="E15" s="116" t="s">
        <v>42</v>
      </c>
      <c r="F15" s="111">
        <v>1</v>
      </c>
      <c r="G15" s="469"/>
      <c r="H15" s="469"/>
      <c r="I15" s="229">
        <f>H15+G15</f>
        <v>0</v>
      </c>
      <c r="J15" s="229">
        <f>I15*F15</f>
        <v>0</v>
      </c>
      <c r="K15" s="464"/>
      <c r="L15" s="258"/>
    </row>
    <row r="16" spans="1:12" s="119" customFormat="1" ht="100.4" customHeight="1" x14ac:dyDescent="0.25">
      <c r="A16" s="258"/>
      <c r="B16" s="464"/>
      <c r="C16" s="111">
        <v>1.2</v>
      </c>
      <c r="D16" s="118" t="s">
        <v>327</v>
      </c>
      <c r="E16" s="116" t="s">
        <v>42</v>
      </c>
      <c r="F16" s="111">
        <v>1</v>
      </c>
      <c r="G16" s="469"/>
      <c r="H16" s="469"/>
      <c r="I16" s="229">
        <f>H16+G16</f>
        <v>0</v>
      </c>
      <c r="J16" s="229">
        <f>I16*F16</f>
        <v>0</v>
      </c>
      <c r="K16" s="464"/>
      <c r="L16" s="258"/>
    </row>
    <row r="17" spans="1:12" ht="31.5" customHeight="1" x14ac:dyDescent="0.3">
      <c r="A17" s="258"/>
      <c r="B17" s="258"/>
      <c r="C17" s="113"/>
      <c r="D17" s="178"/>
      <c r="E17" s="113" t="s">
        <v>61</v>
      </c>
      <c r="F17" s="113" t="s">
        <v>62</v>
      </c>
      <c r="G17" s="462" t="s">
        <v>63</v>
      </c>
      <c r="H17" s="462" t="s">
        <v>64</v>
      </c>
      <c r="I17" s="463" t="s">
        <v>65</v>
      </c>
      <c r="J17" s="463" t="s">
        <v>66</v>
      </c>
      <c r="K17" s="258"/>
      <c r="L17" s="258"/>
    </row>
    <row r="18" spans="1:12" ht="63.75" customHeight="1" x14ac:dyDescent="0.25">
      <c r="A18" s="258"/>
      <c r="B18" s="258"/>
      <c r="C18" s="138">
        <v>2</v>
      </c>
      <c r="D18" s="187" t="s">
        <v>257</v>
      </c>
      <c r="E18" s="33" t="s">
        <v>35</v>
      </c>
      <c r="F18" s="33" t="s">
        <v>36</v>
      </c>
      <c r="G18" s="314" t="s">
        <v>325</v>
      </c>
      <c r="H18" s="317" t="s">
        <v>252</v>
      </c>
      <c r="I18" s="480" t="s">
        <v>253</v>
      </c>
      <c r="J18" s="481" t="s">
        <v>254</v>
      </c>
      <c r="K18" s="258"/>
      <c r="L18" s="258"/>
    </row>
    <row r="19" spans="1:12" s="119" customFormat="1" ht="81" customHeight="1" x14ac:dyDescent="0.25">
      <c r="A19" s="258"/>
      <c r="B19" s="464"/>
      <c r="C19" s="113">
        <v>2.1</v>
      </c>
      <c r="D19" s="139" t="s">
        <v>258</v>
      </c>
      <c r="E19" s="111" t="s">
        <v>90</v>
      </c>
      <c r="F19" s="111">
        <v>1</v>
      </c>
      <c r="G19" s="469"/>
      <c r="H19" s="469"/>
      <c r="I19" s="229">
        <f>H19+G19</f>
        <v>0</v>
      </c>
      <c r="J19" s="229">
        <f>I19*F19</f>
        <v>0</v>
      </c>
      <c r="K19" s="464"/>
      <c r="L19" s="258"/>
    </row>
    <row r="20" spans="1:12" s="119" customFormat="1" ht="81" customHeight="1" x14ac:dyDescent="0.25">
      <c r="A20" s="258"/>
      <c r="B20" s="464"/>
      <c r="C20" s="113">
        <v>2.2000000000000002</v>
      </c>
      <c r="D20" s="139" t="s">
        <v>260</v>
      </c>
      <c r="E20" s="111" t="s">
        <v>328</v>
      </c>
      <c r="F20" s="111" t="s">
        <v>261</v>
      </c>
      <c r="G20" s="469"/>
      <c r="H20" s="469"/>
      <c r="I20" s="229">
        <f>H20+G20</f>
        <v>0</v>
      </c>
      <c r="J20" s="154"/>
      <c r="K20" s="464"/>
      <c r="L20" s="258"/>
    </row>
    <row r="21" spans="1:12" s="119" customFormat="1" ht="81" customHeight="1" x14ac:dyDescent="0.25">
      <c r="A21" s="258"/>
      <c r="B21" s="464"/>
      <c r="C21" s="113">
        <v>2.2999999999999998</v>
      </c>
      <c r="D21" s="139" t="s">
        <v>262</v>
      </c>
      <c r="E21" s="111" t="s">
        <v>328</v>
      </c>
      <c r="F21" s="111" t="s">
        <v>261</v>
      </c>
      <c r="G21" s="469"/>
      <c r="H21" s="469"/>
      <c r="I21" s="229">
        <f>H21+G21</f>
        <v>0</v>
      </c>
      <c r="J21" s="154"/>
      <c r="K21" s="464"/>
      <c r="L21" s="258"/>
    </row>
    <row r="22" spans="1:12" s="119" customFormat="1" ht="81" customHeight="1" x14ac:dyDescent="0.25">
      <c r="A22" s="258"/>
      <c r="B22" s="464"/>
      <c r="C22" s="113">
        <v>2.4</v>
      </c>
      <c r="D22" s="139" t="s">
        <v>263</v>
      </c>
      <c r="E22" s="111" t="s">
        <v>85</v>
      </c>
      <c r="F22" s="111" t="s">
        <v>261</v>
      </c>
      <c r="G22" s="469"/>
      <c r="H22" s="469"/>
      <c r="I22" s="229">
        <f>H22+G22</f>
        <v>0</v>
      </c>
      <c r="J22" s="154"/>
      <c r="K22" s="464"/>
      <c r="L22" s="258"/>
    </row>
    <row r="23" spans="1:12" s="119" customFormat="1" ht="16.5" customHeight="1" x14ac:dyDescent="0.25">
      <c r="A23" s="258"/>
      <c r="B23" s="464"/>
      <c r="C23" s="138">
        <v>3</v>
      </c>
      <c r="D23" s="141" t="s">
        <v>264</v>
      </c>
      <c r="E23" s="610"/>
      <c r="F23" s="545"/>
      <c r="G23" s="546"/>
      <c r="H23" s="546"/>
      <c r="I23" s="545"/>
      <c r="J23" s="552"/>
      <c r="K23" s="464"/>
      <c r="L23" s="258"/>
    </row>
    <row r="24" spans="1:12" s="119" customFormat="1" ht="40.5" customHeight="1" x14ac:dyDescent="0.25">
      <c r="A24" s="258"/>
      <c r="B24" s="464"/>
      <c r="C24" s="113">
        <v>3.1</v>
      </c>
      <c r="D24" s="140" t="s">
        <v>265</v>
      </c>
      <c r="E24" s="111" t="s">
        <v>328</v>
      </c>
      <c r="F24" s="122" t="s">
        <v>266</v>
      </c>
      <c r="G24" s="469"/>
      <c r="H24" s="469"/>
      <c r="I24" s="229">
        <f>H24+G24</f>
        <v>0</v>
      </c>
      <c r="J24" s="154"/>
      <c r="K24" s="464"/>
      <c r="L24" s="258"/>
    </row>
    <row r="25" spans="1:12" s="119" customFormat="1" ht="42.75" customHeight="1" x14ac:dyDescent="0.25">
      <c r="A25" s="258"/>
      <c r="B25" s="464"/>
      <c r="C25" s="113">
        <v>3.2</v>
      </c>
      <c r="D25" s="140" t="s">
        <v>267</v>
      </c>
      <c r="E25" s="111" t="s">
        <v>328</v>
      </c>
      <c r="F25" s="122" t="s">
        <v>266</v>
      </c>
      <c r="G25" s="469"/>
      <c r="H25" s="469"/>
      <c r="I25" s="229">
        <f>H25+G25</f>
        <v>0</v>
      </c>
      <c r="J25" s="154"/>
      <c r="K25" s="464"/>
      <c r="L25" s="258"/>
    </row>
    <row r="26" spans="1:12" s="119" customFormat="1" ht="37.5" customHeight="1" x14ac:dyDescent="0.25">
      <c r="A26" s="258"/>
      <c r="B26" s="464"/>
      <c r="C26" s="113">
        <v>3.3</v>
      </c>
      <c r="D26" s="140" t="s">
        <v>268</v>
      </c>
      <c r="E26" s="111" t="s">
        <v>328</v>
      </c>
      <c r="F26" s="122">
        <v>3</v>
      </c>
      <c r="G26" s="469"/>
      <c r="H26" s="469"/>
      <c r="I26" s="229">
        <f>H26+G26</f>
        <v>0</v>
      </c>
      <c r="J26" s="229">
        <f>I26*F26</f>
        <v>0</v>
      </c>
      <c r="K26" s="464"/>
      <c r="L26" s="258"/>
    </row>
    <row r="27" spans="1:12" s="119" customFormat="1" ht="26.5" customHeight="1" x14ac:dyDescent="0.25">
      <c r="A27" s="258"/>
      <c r="B27" s="464"/>
      <c r="C27" s="113">
        <v>3.4</v>
      </c>
      <c r="D27" s="139" t="s">
        <v>269</v>
      </c>
      <c r="E27" s="122" t="s">
        <v>90</v>
      </c>
      <c r="F27" s="122">
        <v>1</v>
      </c>
      <c r="G27" s="469"/>
      <c r="H27" s="469"/>
      <c r="I27" s="229">
        <f>H27+G27</f>
        <v>0</v>
      </c>
      <c r="J27" s="229">
        <f>I27*F27</f>
        <v>0</v>
      </c>
      <c r="K27" s="464"/>
      <c r="L27" s="258"/>
    </row>
    <row r="28" spans="1:12" s="119" customFormat="1" ht="145.5" customHeight="1" x14ac:dyDescent="0.25">
      <c r="A28" s="258"/>
      <c r="B28" s="464"/>
      <c r="C28" s="113">
        <v>3.5</v>
      </c>
      <c r="D28" s="178" t="s">
        <v>329</v>
      </c>
      <c r="E28" s="122" t="s">
        <v>90</v>
      </c>
      <c r="F28" s="122">
        <v>1</v>
      </c>
      <c r="G28" s="469"/>
      <c r="H28" s="469"/>
      <c r="I28" s="229">
        <f>H28+G28</f>
        <v>0</v>
      </c>
      <c r="J28" s="229">
        <f>I28*F28</f>
        <v>0</v>
      </c>
      <c r="K28" s="464"/>
      <c r="L28" s="258"/>
    </row>
    <row r="29" spans="1:12" s="119" customFormat="1" ht="16.5" customHeight="1" x14ac:dyDescent="0.25">
      <c r="A29" s="258"/>
      <c r="B29" s="464"/>
      <c r="C29" s="138">
        <v>4</v>
      </c>
      <c r="D29" s="141" t="s">
        <v>272</v>
      </c>
      <c r="E29" s="610"/>
      <c r="F29" s="545"/>
      <c r="G29" s="546"/>
      <c r="H29" s="546"/>
      <c r="I29" s="545"/>
      <c r="J29" s="552"/>
      <c r="K29" s="464"/>
      <c r="L29" s="258"/>
    </row>
    <row r="30" spans="1:12" s="119" customFormat="1" ht="51.75" customHeight="1" x14ac:dyDescent="0.25">
      <c r="A30" s="258"/>
      <c r="B30" s="464"/>
      <c r="C30" s="113">
        <v>4.0999999999999996</v>
      </c>
      <c r="D30" s="179" t="s">
        <v>273</v>
      </c>
      <c r="E30" s="111" t="s">
        <v>90</v>
      </c>
      <c r="F30" s="111" t="s">
        <v>266</v>
      </c>
      <c r="G30" s="469"/>
      <c r="H30" s="469"/>
      <c r="I30" s="229">
        <f>H30+G30</f>
        <v>0</v>
      </c>
      <c r="J30" s="154"/>
      <c r="K30" s="464"/>
      <c r="L30" s="258"/>
    </row>
    <row r="31" spans="1:12" s="119" customFormat="1" ht="51.75" customHeight="1" x14ac:dyDescent="0.25">
      <c r="A31" s="258"/>
      <c r="B31" s="464"/>
      <c r="C31" s="113">
        <v>4.2</v>
      </c>
      <c r="D31" s="179" t="s">
        <v>274</v>
      </c>
      <c r="E31" s="111" t="s">
        <v>90</v>
      </c>
      <c r="F31" s="111" t="s">
        <v>266</v>
      </c>
      <c r="G31" s="469"/>
      <c r="H31" s="469"/>
      <c r="I31" s="229">
        <f>H31+G31</f>
        <v>0</v>
      </c>
      <c r="J31" s="154"/>
      <c r="K31" s="464"/>
      <c r="L31" s="258"/>
    </row>
    <row r="32" spans="1:12" s="119" customFormat="1" ht="42" customHeight="1" x14ac:dyDescent="0.25">
      <c r="A32" s="258"/>
      <c r="B32" s="464"/>
      <c r="C32" s="113">
        <v>4.3</v>
      </c>
      <c r="D32" s="139" t="s">
        <v>275</v>
      </c>
      <c r="E32" s="111" t="s">
        <v>90</v>
      </c>
      <c r="F32" s="111">
        <v>1</v>
      </c>
      <c r="G32" s="469"/>
      <c r="H32" s="469"/>
      <c r="I32" s="229">
        <f>H32+G32</f>
        <v>0</v>
      </c>
      <c r="J32" s="211">
        <f>I32*F32</f>
        <v>0</v>
      </c>
      <c r="K32" s="464"/>
      <c r="L32" s="258"/>
    </row>
    <row r="33" spans="1:12" s="119" customFormat="1" ht="30.65" customHeight="1" x14ac:dyDescent="0.25">
      <c r="A33" s="258"/>
      <c r="B33" s="464"/>
      <c r="C33" s="113">
        <v>4.4000000000000004</v>
      </c>
      <c r="D33" s="140" t="s">
        <v>276</v>
      </c>
      <c r="E33" s="111" t="s">
        <v>42</v>
      </c>
      <c r="F33" s="111">
        <v>1</v>
      </c>
      <c r="G33" s="469"/>
      <c r="H33" s="469"/>
      <c r="I33" s="229">
        <f>H33+G33</f>
        <v>0</v>
      </c>
      <c r="J33" s="211">
        <f>I33*F33</f>
        <v>0</v>
      </c>
      <c r="K33" s="464"/>
      <c r="L33" s="258"/>
    </row>
    <row r="34" spans="1:12" s="119" customFormat="1" ht="16.5" customHeight="1" x14ac:dyDescent="0.25">
      <c r="A34" s="258"/>
      <c r="B34" s="464"/>
      <c r="C34" s="138">
        <v>5</v>
      </c>
      <c r="D34" s="141" t="s">
        <v>277</v>
      </c>
      <c r="E34" s="610"/>
      <c r="F34" s="545"/>
      <c r="G34" s="546"/>
      <c r="H34" s="546"/>
      <c r="I34" s="545"/>
      <c r="J34" s="552"/>
      <c r="K34" s="464"/>
      <c r="L34" s="258"/>
    </row>
    <row r="35" spans="1:12" s="119" customFormat="1" ht="28" customHeight="1" x14ac:dyDescent="0.25">
      <c r="A35" s="258"/>
      <c r="B35" s="464"/>
      <c r="C35" s="184">
        <v>5.0999999999999996</v>
      </c>
      <c r="D35" s="189" t="s">
        <v>278</v>
      </c>
      <c r="E35" s="180"/>
      <c r="F35" s="610"/>
      <c r="G35" s="556"/>
      <c r="H35" s="556"/>
      <c r="I35" s="555"/>
      <c r="J35" s="557"/>
      <c r="K35" s="464"/>
      <c r="L35" s="258"/>
    </row>
    <row r="36" spans="1:12" s="119" customFormat="1" ht="28" customHeight="1" x14ac:dyDescent="0.25">
      <c r="A36" s="258"/>
      <c r="B36" s="464"/>
      <c r="C36" s="184">
        <v>5.2</v>
      </c>
      <c r="D36" s="189" t="s">
        <v>279</v>
      </c>
      <c r="E36" s="180"/>
      <c r="F36" s="558"/>
      <c r="G36" s="560"/>
      <c r="H36" s="560"/>
      <c r="I36" s="614"/>
      <c r="J36" s="561"/>
      <c r="K36" s="464"/>
      <c r="L36" s="258"/>
    </row>
    <row r="37" spans="1:12" s="119" customFormat="1" ht="42" customHeight="1" x14ac:dyDescent="0.25">
      <c r="A37" s="258"/>
      <c r="B37" s="464"/>
      <c r="C37" s="184"/>
      <c r="D37" s="190" t="s">
        <v>280</v>
      </c>
      <c r="E37" s="180"/>
      <c r="F37" s="562"/>
      <c r="G37" s="564"/>
      <c r="H37" s="564"/>
      <c r="I37" s="563"/>
      <c r="J37" s="565"/>
      <c r="K37" s="464"/>
      <c r="L37" s="258"/>
    </row>
    <row r="38" spans="1:12" s="119" customFormat="1" ht="14.15" customHeight="1" x14ac:dyDescent="0.25">
      <c r="A38" s="258"/>
      <c r="B38" s="464"/>
      <c r="C38" s="180" t="s">
        <v>281</v>
      </c>
      <c r="D38" s="181" t="s">
        <v>282</v>
      </c>
      <c r="E38" s="182" t="s">
        <v>108</v>
      </c>
      <c r="F38" s="180">
        <f>(3*20)*1.1</f>
        <v>66</v>
      </c>
      <c r="G38" s="482"/>
      <c r="H38" s="482"/>
      <c r="I38" s="229">
        <f>H38+G38</f>
        <v>0</v>
      </c>
      <c r="J38" s="211">
        <f>I38*F38</f>
        <v>0</v>
      </c>
      <c r="K38" s="464"/>
      <c r="L38" s="258"/>
    </row>
    <row r="39" spans="1:12" s="119" customFormat="1" ht="14.15" customHeight="1" x14ac:dyDescent="0.25">
      <c r="A39" s="258"/>
      <c r="B39" s="464"/>
      <c r="C39" s="180" t="s">
        <v>281</v>
      </c>
      <c r="D39" s="181" t="s">
        <v>284</v>
      </c>
      <c r="E39" s="182" t="s">
        <v>108</v>
      </c>
      <c r="F39" s="180">
        <v>1</v>
      </c>
      <c r="G39" s="482"/>
      <c r="H39" s="482"/>
      <c r="I39" s="229">
        <f>H39+G39</f>
        <v>0</v>
      </c>
      <c r="J39" s="211">
        <f>I39*F39</f>
        <v>0</v>
      </c>
      <c r="K39" s="464"/>
      <c r="L39" s="258"/>
    </row>
    <row r="40" spans="1:12" s="119" customFormat="1" ht="14.15" customHeight="1" x14ac:dyDescent="0.25">
      <c r="A40" s="258"/>
      <c r="B40" s="464"/>
      <c r="C40" s="180" t="s">
        <v>283</v>
      </c>
      <c r="D40" s="181" t="s">
        <v>286</v>
      </c>
      <c r="E40" s="182" t="s">
        <v>108</v>
      </c>
      <c r="F40" s="180">
        <v>20</v>
      </c>
      <c r="G40" s="482"/>
      <c r="H40" s="482"/>
      <c r="I40" s="229">
        <f>H40+G40</f>
        <v>0</v>
      </c>
      <c r="J40" s="211">
        <f>I40*F40</f>
        <v>0</v>
      </c>
      <c r="K40" s="464"/>
      <c r="L40" s="258"/>
    </row>
    <row r="41" spans="1:12" s="119" customFormat="1" ht="14.15" customHeight="1" x14ac:dyDescent="0.3">
      <c r="A41" s="258"/>
      <c r="B41" s="464"/>
      <c r="C41" s="191"/>
      <c r="D41" s="190"/>
      <c r="E41" s="138" t="s">
        <v>61</v>
      </c>
      <c r="F41" s="138" t="s">
        <v>62</v>
      </c>
      <c r="G41" s="483" t="s">
        <v>63</v>
      </c>
      <c r="H41" s="483" t="s">
        <v>64</v>
      </c>
      <c r="I41" s="484" t="s">
        <v>65</v>
      </c>
      <c r="J41" s="484" t="s">
        <v>66</v>
      </c>
      <c r="K41" s="464"/>
      <c r="L41" s="258"/>
    </row>
    <row r="42" spans="1:12" s="119" customFormat="1" ht="28" customHeight="1" x14ac:dyDescent="0.25">
      <c r="A42" s="258"/>
      <c r="B42" s="464"/>
      <c r="C42" s="138">
        <v>5.3</v>
      </c>
      <c r="D42" s="141" t="s">
        <v>287</v>
      </c>
      <c r="E42" s="156" t="s">
        <v>35</v>
      </c>
      <c r="F42" s="156" t="s">
        <v>36</v>
      </c>
      <c r="G42" s="485" t="s">
        <v>325</v>
      </c>
      <c r="H42" s="486" t="s">
        <v>252</v>
      </c>
      <c r="I42" s="487" t="s">
        <v>253</v>
      </c>
      <c r="J42" s="488" t="s">
        <v>254</v>
      </c>
      <c r="K42" s="464"/>
      <c r="L42" s="258"/>
    </row>
    <row r="43" spans="1:12" s="119" customFormat="1" ht="14.15" customHeight="1" x14ac:dyDescent="0.25">
      <c r="A43" s="258"/>
      <c r="B43" s="464"/>
      <c r="C43" s="184"/>
      <c r="D43" s="181" t="s">
        <v>288</v>
      </c>
      <c r="E43" s="617"/>
      <c r="F43" s="545"/>
      <c r="G43" s="489"/>
      <c r="H43" s="489"/>
      <c r="I43" s="227"/>
      <c r="J43" s="228"/>
      <c r="K43" s="464"/>
      <c r="L43" s="258"/>
    </row>
    <row r="44" spans="1:12" s="119" customFormat="1" ht="14.15" customHeight="1" x14ac:dyDescent="0.25">
      <c r="A44" s="258"/>
      <c r="B44" s="464"/>
      <c r="C44" s="180" t="s">
        <v>289</v>
      </c>
      <c r="D44" s="181" t="s">
        <v>330</v>
      </c>
      <c r="E44" s="182" t="s">
        <v>108</v>
      </c>
      <c r="F44" s="192">
        <v>15</v>
      </c>
      <c r="G44" s="490"/>
      <c r="H44" s="490"/>
      <c r="I44" s="229">
        <f>H44+G44</f>
        <v>0</v>
      </c>
      <c r="J44" s="211">
        <f>I44*F44</f>
        <v>0</v>
      </c>
      <c r="K44" s="464"/>
      <c r="L44" s="258"/>
    </row>
    <row r="45" spans="1:12" s="119" customFormat="1" ht="14.15" customHeight="1" x14ac:dyDescent="0.25">
      <c r="A45" s="258"/>
      <c r="B45" s="464"/>
      <c r="C45" s="184">
        <v>5.5</v>
      </c>
      <c r="D45" s="189" t="s">
        <v>291</v>
      </c>
      <c r="E45" s="624"/>
      <c r="F45" s="545"/>
      <c r="G45" s="546"/>
      <c r="H45" s="546"/>
      <c r="I45" s="545"/>
      <c r="J45" s="552"/>
      <c r="K45" s="464"/>
      <c r="L45" s="258"/>
    </row>
    <row r="46" spans="1:12" s="119" customFormat="1" ht="14.15" customHeight="1" x14ac:dyDescent="0.25">
      <c r="A46" s="258"/>
      <c r="B46" s="464"/>
      <c r="C46" s="184"/>
      <c r="D46" s="181" t="s">
        <v>292</v>
      </c>
      <c r="E46" s="616"/>
      <c r="F46" s="555"/>
      <c r="G46" s="556"/>
      <c r="H46" s="556"/>
      <c r="I46" s="555"/>
      <c r="J46" s="557"/>
      <c r="K46" s="464"/>
      <c r="L46" s="258"/>
    </row>
    <row r="47" spans="1:12" s="119" customFormat="1" ht="28" customHeight="1" x14ac:dyDescent="0.25">
      <c r="A47" s="258"/>
      <c r="B47" s="464"/>
      <c r="C47" s="191"/>
      <c r="D47" s="181" t="s">
        <v>174</v>
      </c>
      <c r="E47" s="562"/>
      <c r="F47" s="563"/>
      <c r="G47" s="564"/>
      <c r="H47" s="564"/>
      <c r="I47" s="563"/>
      <c r="J47" s="565"/>
      <c r="K47" s="464"/>
      <c r="L47" s="258"/>
    </row>
    <row r="48" spans="1:12" s="474" customFormat="1" ht="14.15" customHeight="1" x14ac:dyDescent="0.25">
      <c r="A48" s="258"/>
      <c r="B48" s="475"/>
      <c r="C48" s="180" t="s">
        <v>299</v>
      </c>
      <c r="D48" s="181" t="s">
        <v>282</v>
      </c>
      <c r="E48" s="182" t="s">
        <v>85</v>
      </c>
      <c r="F48" s="180">
        <v>10</v>
      </c>
      <c r="G48" s="482"/>
      <c r="H48" s="482"/>
      <c r="I48" s="229">
        <f>H48+G48</f>
        <v>0</v>
      </c>
      <c r="J48" s="211">
        <f>I48*F48</f>
        <v>0</v>
      </c>
      <c r="K48" s="464"/>
      <c r="L48" s="476"/>
    </row>
    <row r="49" spans="1:12" s="119" customFormat="1" ht="14.15" customHeight="1" x14ac:dyDescent="0.25">
      <c r="A49" s="258"/>
      <c r="B49" s="464"/>
      <c r="C49" s="180" t="s">
        <v>281</v>
      </c>
      <c r="D49" s="181" t="s">
        <v>284</v>
      </c>
      <c r="E49" s="182" t="s">
        <v>108</v>
      </c>
      <c r="F49" s="180">
        <v>1</v>
      </c>
      <c r="G49" s="482"/>
      <c r="H49" s="482"/>
      <c r="I49" s="229">
        <f>H49+G49</f>
        <v>0</v>
      </c>
      <c r="J49" s="211">
        <f>I49*F49</f>
        <v>0</v>
      </c>
      <c r="K49" s="464"/>
      <c r="L49" s="258"/>
    </row>
    <row r="50" spans="1:12" s="474" customFormat="1" ht="14.15" customHeight="1" x14ac:dyDescent="0.25">
      <c r="A50" s="258"/>
      <c r="B50" s="475"/>
      <c r="C50" s="180" t="s">
        <v>331</v>
      </c>
      <c r="D50" s="181" t="s">
        <v>177</v>
      </c>
      <c r="E50" s="182" t="s">
        <v>85</v>
      </c>
      <c r="F50" s="180">
        <v>10</v>
      </c>
      <c r="G50" s="482"/>
      <c r="H50" s="482"/>
      <c r="I50" s="229">
        <f>H50+G50</f>
        <v>0</v>
      </c>
      <c r="J50" s="211">
        <f>I50*F50</f>
        <v>0</v>
      </c>
      <c r="K50" s="464"/>
      <c r="L50" s="476"/>
    </row>
    <row r="51" spans="1:12" s="474" customFormat="1" ht="14.15" customHeight="1" x14ac:dyDescent="0.25">
      <c r="A51" s="258"/>
      <c r="B51" s="475"/>
      <c r="C51" s="180" t="s">
        <v>332</v>
      </c>
      <c r="D51" s="181" t="s">
        <v>297</v>
      </c>
      <c r="E51" s="182" t="s">
        <v>85</v>
      </c>
      <c r="F51" s="180">
        <v>10</v>
      </c>
      <c r="G51" s="482"/>
      <c r="H51" s="482"/>
      <c r="I51" s="229">
        <f>H51+G51</f>
        <v>0</v>
      </c>
      <c r="J51" s="211">
        <f>I51*F51</f>
        <v>0</v>
      </c>
      <c r="K51" s="464"/>
      <c r="L51" s="476"/>
    </row>
    <row r="52" spans="1:12" s="119" customFormat="1" ht="14.15" customHeight="1" x14ac:dyDescent="0.25">
      <c r="A52" s="258"/>
      <c r="B52" s="464"/>
      <c r="C52" s="113">
        <v>5.6</v>
      </c>
      <c r="D52" s="141" t="s">
        <v>298</v>
      </c>
      <c r="E52" s="225"/>
      <c r="F52" s="610"/>
      <c r="G52" s="546"/>
      <c r="H52" s="546"/>
      <c r="I52" s="545"/>
      <c r="J52" s="552"/>
      <c r="K52" s="464"/>
      <c r="L52" s="258"/>
    </row>
    <row r="53" spans="1:12" s="119" customFormat="1" ht="28" customHeight="1" x14ac:dyDescent="0.25">
      <c r="A53" s="258"/>
      <c r="B53" s="464"/>
      <c r="C53" s="111" t="s">
        <v>304</v>
      </c>
      <c r="D53" s="117" t="s">
        <v>199</v>
      </c>
      <c r="E53" s="116" t="s">
        <v>108</v>
      </c>
      <c r="F53" s="111">
        <v>30</v>
      </c>
      <c r="G53" s="469"/>
      <c r="H53" s="469"/>
      <c r="I53" s="229">
        <f>H53+G53</f>
        <v>0</v>
      </c>
      <c r="J53" s="212">
        <f>I53*F53</f>
        <v>0</v>
      </c>
      <c r="K53" s="464"/>
      <c r="L53" s="258"/>
    </row>
    <row r="54" spans="1:12" s="119" customFormat="1" ht="28" customHeight="1" x14ac:dyDescent="0.25">
      <c r="A54" s="258"/>
      <c r="B54" s="464"/>
      <c r="C54" s="111" t="s">
        <v>306</v>
      </c>
      <c r="D54" s="117" t="s">
        <v>301</v>
      </c>
      <c r="E54" s="116" t="s">
        <v>42</v>
      </c>
      <c r="F54" s="111">
        <v>1</v>
      </c>
      <c r="G54" s="469"/>
      <c r="H54" s="469"/>
      <c r="I54" s="229">
        <f>H54+G54</f>
        <v>0</v>
      </c>
      <c r="J54" s="212">
        <f>I54*F54</f>
        <v>0</v>
      </c>
      <c r="K54" s="464"/>
      <c r="L54" s="258"/>
    </row>
    <row r="55" spans="1:12" s="119" customFormat="1" ht="14.15" customHeight="1" x14ac:dyDescent="0.3">
      <c r="A55" s="258"/>
      <c r="B55" s="464"/>
      <c r="C55" s="113">
        <v>5.7</v>
      </c>
      <c r="D55" s="141" t="s">
        <v>302</v>
      </c>
      <c r="E55" s="138" t="s">
        <v>61</v>
      </c>
      <c r="F55" s="138" t="s">
        <v>62</v>
      </c>
      <c r="G55" s="483" t="s">
        <v>63</v>
      </c>
      <c r="H55" s="483" t="s">
        <v>64</v>
      </c>
      <c r="I55" s="484" t="s">
        <v>65</v>
      </c>
      <c r="J55" s="484" t="s">
        <v>66</v>
      </c>
      <c r="K55" s="464"/>
      <c r="L55" s="258"/>
    </row>
    <row r="56" spans="1:12" s="119" customFormat="1" ht="28" customHeight="1" x14ac:dyDescent="0.25">
      <c r="A56" s="258"/>
      <c r="B56" s="464"/>
      <c r="C56" s="113"/>
      <c r="D56" s="117" t="s">
        <v>303</v>
      </c>
      <c r="E56" s="156" t="s">
        <v>35</v>
      </c>
      <c r="F56" s="156" t="s">
        <v>36</v>
      </c>
      <c r="G56" s="485" t="s">
        <v>325</v>
      </c>
      <c r="H56" s="486" t="s">
        <v>252</v>
      </c>
      <c r="I56" s="487" t="s">
        <v>253</v>
      </c>
      <c r="J56" s="488" t="s">
        <v>254</v>
      </c>
      <c r="K56" s="464"/>
      <c r="L56" s="258"/>
    </row>
    <row r="57" spans="1:12" s="119" customFormat="1" ht="35.5" customHeight="1" x14ac:dyDescent="0.25">
      <c r="A57" s="258"/>
      <c r="B57" s="464"/>
      <c r="C57" s="111" t="s">
        <v>333</v>
      </c>
      <c r="D57" s="117" t="s">
        <v>305</v>
      </c>
      <c r="E57" s="116" t="s">
        <v>108</v>
      </c>
      <c r="F57" s="111">
        <v>30</v>
      </c>
      <c r="G57" s="469"/>
      <c r="H57" s="469"/>
      <c r="I57" s="229">
        <f t="shared" ref="I57:I62" si="0">H57+G57</f>
        <v>0</v>
      </c>
      <c r="J57" s="229">
        <f t="shared" ref="J57:J62" si="1">I57*F57</f>
        <v>0</v>
      </c>
      <c r="K57" s="464"/>
      <c r="L57" s="258"/>
    </row>
    <row r="58" spans="1:12" s="119" customFormat="1" ht="35.5" customHeight="1" x14ac:dyDescent="0.25">
      <c r="A58" s="258"/>
      <c r="B58" s="464"/>
      <c r="C58" s="111" t="s">
        <v>334</v>
      </c>
      <c r="D58" s="117" t="s">
        <v>307</v>
      </c>
      <c r="E58" s="116" t="s">
        <v>108</v>
      </c>
      <c r="F58" s="111">
        <v>30</v>
      </c>
      <c r="G58" s="469"/>
      <c r="H58" s="469"/>
      <c r="I58" s="229">
        <f t="shared" si="0"/>
        <v>0</v>
      </c>
      <c r="J58" s="229">
        <f t="shared" si="1"/>
        <v>0</v>
      </c>
      <c r="K58" s="464"/>
      <c r="L58" s="258"/>
    </row>
    <row r="59" spans="1:12" s="119" customFormat="1" ht="35.5" customHeight="1" x14ac:dyDescent="0.25">
      <c r="A59" s="258"/>
      <c r="B59" s="464"/>
      <c r="C59" s="111" t="s">
        <v>335</v>
      </c>
      <c r="D59" s="117" t="s">
        <v>309</v>
      </c>
      <c r="E59" s="116" t="s">
        <v>108</v>
      </c>
      <c r="F59" s="111">
        <v>30</v>
      </c>
      <c r="G59" s="469"/>
      <c r="H59" s="469"/>
      <c r="I59" s="229">
        <f t="shared" si="0"/>
        <v>0</v>
      </c>
      <c r="J59" s="229">
        <f t="shared" si="1"/>
        <v>0</v>
      </c>
      <c r="K59" s="464"/>
      <c r="L59" s="258"/>
    </row>
    <row r="60" spans="1:12" s="119" customFormat="1" ht="35.5" customHeight="1" x14ac:dyDescent="0.25">
      <c r="A60" s="258"/>
      <c r="B60" s="464"/>
      <c r="C60" s="111" t="s">
        <v>336</v>
      </c>
      <c r="D60" s="118" t="s">
        <v>311</v>
      </c>
      <c r="E60" s="116" t="s">
        <v>108</v>
      </c>
      <c r="F60" s="111">
        <v>30</v>
      </c>
      <c r="G60" s="469"/>
      <c r="H60" s="469"/>
      <c r="I60" s="229">
        <f t="shared" si="0"/>
        <v>0</v>
      </c>
      <c r="J60" s="229">
        <f t="shared" si="1"/>
        <v>0</v>
      </c>
      <c r="K60" s="464"/>
      <c r="L60" s="258"/>
    </row>
    <row r="61" spans="1:12" s="119" customFormat="1" ht="35.5" customHeight="1" x14ac:dyDescent="0.25">
      <c r="A61" s="258"/>
      <c r="B61" s="464"/>
      <c r="C61" s="111" t="s">
        <v>337</v>
      </c>
      <c r="D61" s="118" t="s">
        <v>313</v>
      </c>
      <c r="E61" s="116" t="s">
        <v>108</v>
      </c>
      <c r="F61" s="111">
        <v>30</v>
      </c>
      <c r="G61" s="469"/>
      <c r="H61" s="469"/>
      <c r="I61" s="229">
        <f t="shared" si="0"/>
        <v>0</v>
      </c>
      <c r="J61" s="229">
        <f t="shared" si="1"/>
        <v>0</v>
      </c>
      <c r="K61" s="464"/>
      <c r="L61" s="258"/>
    </row>
    <row r="62" spans="1:12" s="119" customFormat="1" ht="35.5" customHeight="1" x14ac:dyDescent="0.25">
      <c r="A62" s="258"/>
      <c r="B62" s="464"/>
      <c r="C62" s="111" t="s">
        <v>338</v>
      </c>
      <c r="D62" s="117" t="s">
        <v>315</v>
      </c>
      <c r="E62" s="116" t="s">
        <v>108</v>
      </c>
      <c r="F62" s="111">
        <v>30</v>
      </c>
      <c r="G62" s="469"/>
      <c r="H62" s="469"/>
      <c r="I62" s="229">
        <f t="shared" si="0"/>
        <v>0</v>
      </c>
      <c r="J62" s="229">
        <f t="shared" si="1"/>
        <v>0</v>
      </c>
      <c r="K62" s="464"/>
      <c r="L62" s="258"/>
    </row>
    <row r="63" spans="1:12" s="119" customFormat="1" ht="16.5" customHeight="1" x14ac:dyDescent="0.3">
      <c r="A63" s="258"/>
      <c r="B63" s="464"/>
      <c r="C63" s="138">
        <v>6</v>
      </c>
      <c r="D63" s="141" t="s">
        <v>316</v>
      </c>
      <c r="E63" s="138" t="s">
        <v>61</v>
      </c>
      <c r="F63" s="138" t="s">
        <v>62</v>
      </c>
      <c r="G63" s="483" t="s">
        <v>63</v>
      </c>
      <c r="H63" s="483" t="s">
        <v>64</v>
      </c>
      <c r="I63" s="484" t="s">
        <v>65</v>
      </c>
      <c r="J63" s="484" t="s">
        <v>66</v>
      </c>
      <c r="K63" s="464"/>
      <c r="L63" s="258"/>
    </row>
    <row r="64" spans="1:12" s="119" customFormat="1" ht="28" customHeight="1" x14ac:dyDescent="0.25">
      <c r="A64" s="258"/>
      <c r="B64" s="464"/>
      <c r="C64" s="113"/>
      <c r="D64" s="125"/>
      <c r="E64" s="156" t="s">
        <v>35</v>
      </c>
      <c r="F64" s="156" t="s">
        <v>36</v>
      </c>
      <c r="G64" s="485" t="s">
        <v>325</v>
      </c>
      <c r="H64" s="486" t="s">
        <v>252</v>
      </c>
      <c r="I64" s="487" t="s">
        <v>253</v>
      </c>
      <c r="J64" s="488" t="s">
        <v>254</v>
      </c>
      <c r="K64" s="464"/>
      <c r="L64" s="258"/>
    </row>
    <row r="65" spans="1:12" s="119" customFormat="1" ht="50.15" customHeight="1" x14ac:dyDescent="0.25">
      <c r="A65" s="258"/>
      <c r="B65" s="464"/>
      <c r="C65" s="111">
        <v>6.1</v>
      </c>
      <c r="D65" s="117" t="s">
        <v>317</v>
      </c>
      <c r="E65" s="116" t="s">
        <v>42</v>
      </c>
      <c r="F65" s="111">
        <v>1</v>
      </c>
      <c r="G65" s="469"/>
      <c r="H65" s="469"/>
      <c r="I65" s="229">
        <f>H65+G65</f>
        <v>0</v>
      </c>
      <c r="J65" s="229">
        <f>I65*F65</f>
        <v>0</v>
      </c>
      <c r="K65" s="464"/>
      <c r="L65" s="258"/>
    </row>
    <row r="66" spans="1:12" s="119" customFormat="1" ht="30.65" customHeight="1" x14ac:dyDescent="0.25">
      <c r="A66" s="258"/>
      <c r="B66" s="464"/>
      <c r="C66" s="111">
        <v>6.2</v>
      </c>
      <c r="D66" s="117" t="s">
        <v>318</v>
      </c>
      <c r="E66" s="116" t="s">
        <v>42</v>
      </c>
      <c r="F66" s="111">
        <v>1</v>
      </c>
      <c r="G66" s="469"/>
      <c r="H66" s="469"/>
      <c r="I66" s="229">
        <f>H66+G66</f>
        <v>0</v>
      </c>
      <c r="J66" s="229">
        <f>I66*F66</f>
        <v>0</v>
      </c>
      <c r="K66" s="464"/>
      <c r="L66" s="258"/>
    </row>
    <row r="67" spans="1:12" s="119" customFormat="1" ht="30.65" customHeight="1" x14ac:dyDescent="0.25">
      <c r="A67" s="258"/>
      <c r="B67" s="464"/>
      <c r="C67" s="111">
        <v>6.3</v>
      </c>
      <c r="D67" s="117" t="s">
        <v>319</v>
      </c>
      <c r="E67" s="116" t="s">
        <v>42</v>
      </c>
      <c r="F67" s="111">
        <v>1</v>
      </c>
      <c r="G67" s="469"/>
      <c r="H67" s="469"/>
      <c r="I67" s="229">
        <f>H67+G67</f>
        <v>0</v>
      </c>
      <c r="J67" s="229">
        <f>I67*F67</f>
        <v>0</v>
      </c>
      <c r="K67" s="464"/>
      <c r="L67" s="258"/>
    </row>
    <row r="68" spans="1:12" s="119" customFormat="1" ht="33.65" customHeight="1" x14ac:dyDescent="0.25">
      <c r="A68" s="258"/>
      <c r="B68" s="464"/>
      <c r="C68" s="111">
        <v>6.4</v>
      </c>
      <c r="D68" s="117" t="s">
        <v>320</v>
      </c>
      <c r="E68" s="116" t="s">
        <v>42</v>
      </c>
      <c r="F68" s="111">
        <v>1</v>
      </c>
      <c r="G68" s="469"/>
      <c r="H68" s="469"/>
      <c r="I68" s="229">
        <f>H68+G68</f>
        <v>0</v>
      </c>
      <c r="J68" s="229">
        <f>I68*F68</f>
        <v>0</v>
      </c>
      <c r="K68" s="464"/>
      <c r="L68" s="258"/>
    </row>
    <row r="69" spans="1:12" s="119" customFormat="1" ht="14.15" customHeight="1" x14ac:dyDescent="0.25">
      <c r="A69" s="258"/>
      <c r="B69" s="464"/>
      <c r="C69" s="138">
        <v>7</v>
      </c>
      <c r="D69" s="141" t="s">
        <v>321</v>
      </c>
      <c r="E69" s="610"/>
      <c r="F69" s="545"/>
      <c r="G69" s="546"/>
      <c r="H69" s="546"/>
      <c r="I69" s="545"/>
      <c r="J69" s="552"/>
      <c r="K69" s="464"/>
      <c r="L69" s="258"/>
    </row>
    <row r="70" spans="1:12" s="119" customFormat="1" ht="28.5" customHeight="1" thickBot="1" x14ac:dyDescent="0.3">
      <c r="A70" s="258"/>
      <c r="B70" s="464"/>
      <c r="C70" s="111">
        <v>7.1</v>
      </c>
      <c r="D70" s="117" t="s">
        <v>450</v>
      </c>
      <c r="E70" s="111" t="s">
        <v>42</v>
      </c>
      <c r="F70" s="233">
        <v>1</v>
      </c>
      <c r="G70" s="491"/>
      <c r="H70" s="491"/>
      <c r="I70" s="229">
        <f>H70+G70</f>
        <v>0</v>
      </c>
      <c r="J70" s="231">
        <f>I70*F70</f>
        <v>0</v>
      </c>
      <c r="K70" s="464"/>
      <c r="L70" s="258"/>
    </row>
    <row r="71" spans="1:12" s="119" customFormat="1" ht="18.75" customHeight="1" thickBot="1" x14ac:dyDescent="0.3">
      <c r="A71" s="258"/>
      <c r="B71" s="464"/>
      <c r="C71" s="111"/>
      <c r="D71" s="230" t="s">
        <v>322</v>
      </c>
      <c r="E71" s="621"/>
      <c r="F71" s="545"/>
      <c r="G71" s="546"/>
      <c r="H71" s="546"/>
      <c r="I71" s="622"/>
      <c r="J71" s="240">
        <f>SUM(J15:J70)</f>
        <v>0</v>
      </c>
      <c r="K71" s="464"/>
      <c r="L71" s="258"/>
    </row>
    <row r="72" spans="1:12" s="162" customFormat="1" ht="24" customHeight="1" thickBot="1" x14ac:dyDescent="0.3">
      <c r="A72" s="258"/>
      <c r="B72" s="258"/>
      <c r="C72" s="618" t="s">
        <v>456</v>
      </c>
      <c r="D72" s="619"/>
      <c r="E72" s="619"/>
      <c r="F72" s="619"/>
      <c r="G72" s="619"/>
      <c r="H72" s="619"/>
      <c r="I72" s="619"/>
      <c r="J72" s="620"/>
      <c r="K72" s="258"/>
      <c r="L72" s="258"/>
    </row>
    <row r="73" spans="1:12" ht="18.75" customHeight="1" x14ac:dyDescent="0.25">
      <c r="A73" s="258"/>
      <c r="B73" s="258"/>
      <c r="C73" s="535" t="s">
        <v>459</v>
      </c>
      <c r="D73" s="536"/>
      <c r="E73" s="536"/>
      <c r="F73" s="536"/>
      <c r="G73" s="536"/>
      <c r="H73" s="536"/>
      <c r="I73" s="536"/>
      <c r="J73" s="537"/>
      <c r="K73" s="258"/>
      <c r="L73" s="258"/>
    </row>
    <row r="74" spans="1:12" ht="18.75" customHeight="1" x14ac:dyDescent="0.25">
      <c r="A74" s="258"/>
      <c r="B74" s="258"/>
      <c r="C74" s="538"/>
      <c r="D74" s="539"/>
      <c r="E74" s="539"/>
      <c r="F74" s="539"/>
      <c r="G74" s="539"/>
      <c r="H74" s="539"/>
      <c r="I74" s="539"/>
      <c r="J74" s="540"/>
      <c r="K74" s="258"/>
      <c r="L74" s="258"/>
    </row>
    <row r="75" spans="1:12" ht="18.75" customHeight="1" x14ac:dyDescent="0.25">
      <c r="A75" s="258"/>
      <c r="B75" s="258"/>
      <c r="C75" s="538"/>
      <c r="D75" s="539"/>
      <c r="E75" s="539"/>
      <c r="F75" s="539"/>
      <c r="G75" s="539"/>
      <c r="H75" s="539"/>
      <c r="I75" s="539"/>
      <c r="J75" s="540"/>
      <c r="K75" s="258"/>
      <c r="L75" s="258"/>
    </row>
    <row r="76" spans="1:12" s="8" customFormat="1" ht="18.75" customHeight="1" x14ac:dyDescent="0.25">
      <c r="A76" s="258"/>
      <c r="B76" s="492"/>
      <c r="C76" s="538"/>
      <c r="D76" s="539"/>
      <c r="E76" s="539"/>
      <c r="F76" s="539"/>
      <c r="G76" s="539"/>
      <c r="H76" s="539"/>
      <c r="I76" s="539"/>
      <c r="J76" s="540"/>
      <c r="K76" s="286"/>
      <c r="L76" s="258"/>
    </row>
    <row r="77" spans="1:12" s="8" customFormat="1" ht="97.5" customHeight="1" thickBot="1" x14ac:dyDescent="0.3">
      <c r="A77" s="258"/>
      <c r="B77" s="492"/>
      <c r="C77" s="541"/>
      <c r="D77" s="542"/>
      <c r="E77" s="542"/>
      <c r="F77" s="542"/>
      <c r="G77" s="542"/>
      <c r="H77" s="542"/>
      <c r="I77" s="542"/>
      <c r="J77" s="543"/>
      <c r="K77" s="286"/>
      <c r="L77" s="258"/>
    </row>
    <row r="78" spans="1:12" s="8" customFormat="1" ht="18.75" customHeight="1" x14ac:dyDescent="0.25">
      <c r="A78" s="258"/>
      <c r="B78" s="492"/>
      <c r="C78" s="35"/>
      <c r="D78" s="45"/>
      <c r="E78" s="35"/>
      <c r="F78" s="35"/>
      <c r="G78" s="258"/>
      <c r="H78" s="258"/>
      <c r="I78" s="295"/>
      <c r="J78" s="295"/>
      <c r="K78" s="286"/>
      <c r="L78" s="258"/>
    </row>
    <row r="79" spans="1:12" s="8" customFormat="1" ht="18.75" customHeight="1" x14ac:dyDescent="0.25">
      <c r="A79" s="258"/>
      <c r="B79" s="492"/>
      <c r="C79" s="35"/>
      <c r="D79" s="45"/>
      <c r="E79" s="35"/>
      <c r="F79" s="35"/>
      <c r="G79" s="258"/>
      <c r="H79" s="258"/>
      <c r="I79" s="295"/>
      <c r="J79" s="295"/>
      <c r="K79" s="286"/>
      <c r="L79" s="258"/>
    </row>
    <row r="80" spans="1:12" s="8" customFormat="1" ht="18.75" customHeight="1" x14ac:dyDescent="0.25">
      <c r="A80" s="258"/>
      <c r="B80" s="492"/>
      <c r="C80" s="35"/>
      <c r="D80" s="45"/>
      <c r="E80" s="35"/>
      <c r="F80" s="35"/>
      <c r="G80" s="258"/>
      <c r="H80" s="258"/>
      <c r="I80" s="295"/>
      <c r="J80" s="295"/>
      <c r="K80" s="286"/>
      <c r="L80" s="258"/>
    </row>
    <row r="81" spans="1:12" s="8" customFormat="1" ht="18.75" customHeight="1" x14ac:dyDescent="0.25">
      <c r="A81" s="258"/>
      <c r="B81" s="492"/>
      <c r="C81" s="35"/>
      <c r="D81" s="45"/>
      <c r="E81" s="35"/>
      <c r="F81" s="35"/>
      <c r="G81" s="258"/>
      <c r="H81" s="258"/>
      <c r="I81" s="295"/>
      <c r="J81" s="295"/>
      <c r="K81" s="286"/>
      <c r="L81" s="258"/>
    </row>
    <row r="82" spans="1:12" s="8" customFormat="1" ht="18.75" customHeight="1" x14ac:dyDescent="0.25">
      <c r="A82" s="258"/>
      <c r="B82" s="492"/>
      <c r="C82" s="35"/>
      <c r="D82" s="45"/>
      <c r="E82" s="35"/>
      <c r="F82" s="35"/>
      <c r="G82" s="258"/>
      <c r="H82" s="258"/>
      <c r="I82" s="295"/>
      <c r="J82" s="295"/>
      <c r="K82" s="286"/>
      <c r="L82" s="258"/>
    </row>
    <row r="83" spans="1:12" s="8" customFormat="1" ht="18.75" customHeight="1" x14ac:dyDescent="0.25">
      <c r="A83" s="258"/>
      <c r="B83" s="492"/>
      <c r="C83" s="35"/>
      <c r="D83" s="45"/>
      <c r="E83" s="35"/>
      <c r="F83" s="35"/>
      <c r="G83" s="258"/>
      <c r="H83" s="258"/>
      <c r="I83" s="295"/>
      <c r="J83" s="295"/>
      <c r="K83" s="286"/>
      <c r="L83" s="258"/>
    </row>
    <row r="84" spans="1:12" s="8" customFormat="1" ht="18.75" customHeight="1" x14ac:dyDescent="0.25">
      <c r="A84" s="258"/>
      <c r="B84" s="492"/>
      <c r="C84" s="35"/>
      <c r="D84" s="45"/>
      <c r="E84" s="35"/>
      <c r="F84" s="35"/>
      <c r="G84" s="258"/>
      <c r="H84" s="258"/>
      <c r="I84" s="295"/>
      <c r="J84" s="295"/>
      <c r="K84" s="286"/>
      <c r="L84" s="258"/>
    </row>
  </sheetData>
  <sheetProtection algorithmName="SHA-512" hashValue="4ebzXwbv83CZNO635jWJXpI7aL55ssXwCgCUiuIGhKusq90eBKfUIk3DcmUNO8e7wV/mLy7YvAV2v2yl3Yp+ZA==" saltValue="Ae2dk2bb2sFexLA/NqEBxQ==" spinCount="100000" sheet="1" objects="1" scenarios="1"/>
  <mergeCells count="17">
    <mergeCell ref="C8:J8"/>
    <mergeCell ref="E46:J47"/>
    <mergeCell ref="E43:F43"/>
    <mergeCell ref="C72:J72"/>
    <mergeCell ref="C73:J77"/>
    <mergeCell ref="H1:J5"/>
    <mergeCell ref="E71:I71"/>
    <mergeCell ref="F35:J37"/>
    <mergeCell ref="E10:J12"/>
    <mergeCell ref="F52:J52"/>
    <mergeCell ref="C6:J6"/>
    <mergeCell ref="E69:J69"/>
    <mergeCell ref="E29:J29"/>
    <mergeCell ref="E45:J45"/>
    <mergeCell ref="E23:J23"/>
    <mergeCell ref="C7:J7"/>
    <mergeCell ref="E34:J34"/>
  </mergeCells>
  <printOptions horizontalCentered="1"/>
  <pageMargins left="0" right="0" top="0" bottom="0" header="0.31496062992125978" footer="0.31496062992125978"/>
  <pageSetup paperSize="9" scale="48" fitToHeight="0"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rowBreaks count="1" manualBreakCount="1">
    <brk id="33" min="1" max="10"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L87"/>
  <sheetViews>
    <sheetView view="pageBreakPreview" topLeftCell="A29" zoomScale="55" zoomScaleNormal="90" zoomScaleSheetLayoutView="55" workbookViewId="0">
      <selection activeCell="H1" sqref="H1:J5"/>
    </sheetView>
  </sheetViews>
  <sheetFormatPr defaultColWidth="8.54296875" defaultRowHeight="12.5" x14ac:dyDescent="0.25"/>
  <cols>
    <col min="2" max="2" width="2.81640625" style="162" customWidth="1"/>
    <col min="3" max="3" width="16.453125" style="35" customWidth="1"/>
    <col min="4" max="4" width="86" style="45" customWidth="1"/>
    <col min="5" max="5" width="7.54296875" style="35" customWidth="1"/>
    <col min="6" max="6" width="14.453125" style="35" customWidth="1"/>
    <col min="7" max="7" width="17.453125" style="8" customWidth="1"/>
    <col min="8" max="8" width="13.81640625" style="8" customWidth="1"/>
    <col min="9" max="9" width="15.54296875" style="295" customWidth="1"/>
    <col min="10" max="10" width="16.81640625" style="295" bestFit="1" customWidth="1"/>
    <col min="11" max="11" width="2.54296875" style="162" customWidth="1"/>
  </cols>
  <sheetData>
    <row r="1" spans="1:12" x14ac:dyDescent="0.25">
      <c r="H1" s="530" t="e" vm="1">
        <v>#VALUE!</v>
      </c>
      <c r="I1" s="530"/>
      <c r="J1" s="530"/>
    </row>
    <row r="2" spans="1:12" x14ac:dyDescent="0.25">
      <c r="H2" s="530"/>
      <c r="I2" s="530"/>
      <c r="J2" s="530"/>
    </row>
    <row r="3" spans="1:12" x14ac:dyDescent="0.25">
      <c r="H3" s="530"/>
      <c r="I3" s="530"/>
      <c r="J3" s="530"/>
    </row>
    <row r="4" spans="1:12" x14ac:dyDescent="0.25">
      <c r="H4" s="530"/>
      <c r="I4" s="530"/>
      <c r="J4" s="530"/>
    </row>
    <row r="5" spans="1:12" x14ac:dyDescent="0.25">
      <c r="A5" s="258"/>
      <c r="B5" s="258"/>
      <c r="G5" s="258"/>
      <c r="H5" s="531"/>
      <c r="I5" s="531"/>
      <c r="J5" s="531"/>
      <c r="K5" s="258"/>
      <c r="L5" s="258"/>
    </row>
    <row r="6" spans="1:12" ht="15.65" customHeight="1" x14ac:dyDescent="0.35">
      <c r="A6" s="258"/>
      <c r="B6" s="258"/>
      <c r="C6" s="166" t="s">
        <v>0</v>
      </c>
      <c r="D6" s="167"/>
      <c r="E6" s="167"/>
      <c r="F6" s="167"/>
      <c r="G6" s="282"/>
      <c r="H6" s="282"/>
      <c r="I6" s="193"/>
      <c r="J6" s="194"/>
      <c r="K6" s="459"/>
      <c r="L6" s="299"/>
    </row>
    <row r="7" spans="1:12" ht="15.65" customHeight="1" x14ac:dyDescent="0.35">
      <c r="A7" s="258"/>
      <c r="B7" s="258"/>
      <c r="C7" s="628" t="str">
        <f>'SECTION 1-P&amp;G'!C8</f>
        <v>ACSA KSIA POWER FACTOR CORRECTION UPGRADE</v>
      </c>
      <c r="D7" s="545"/>
      <c r="E7" s="545"/>
      <c r="F7" s="545"/>
      <c r="G7" s="546"/>
      <c r="H7" s="546"/>
      <c r="I7" s="545"/>
      <c r="J7" s="552"/>
      <c r="K7" s="459"/>
      <c r="L7" s="299"/>
    </row>
    <row r="8" spans="1:12" ht="16" customHeight="1" thickBot="1" x14ac:dyDescent="0.4">
      <c r="A8" s="258"/>
      <c r="B8" s="258"/>
      <c r="C8" s="628" t="s">
        <v>339</v>
      </c>
      <c r="D8" s="545"/>
      <c r="E8" s="545"/>
      <c r="F8" s="545"/>
      <c r="G8" s="546"/>
      <c r="H8" s="546"/>
      <c r="I8" s="545"/>
      <c r="J8" s="552"/>
      <c r="K8" s="459"/>
      <c r="L8" s="299"/>
    </row>
    <row r="9" spans="1:12" ht="45.75" customHeight="1" thickTop="1" x14ac:dyDescent="0.3">
      <c r="A9" s="258"/>
      <c r="B9" s="258"/>
      <c r="C9" s="186" t="s">
        <v>246</v>
      </c>
      <c r="D9" s="44" t="s">
        <v>4</v>
      </c>
      <c r="E9" s="33" t="s">
        <v>35</v>
      </c>
      <c r="F9" s="33" t="s">
        <v>36</v>
      </c>
      <c r="G9" s="314" t="s">
        <v>325</v>
      </c>
      <c r="H9" s="317" t="s">
        <v>252</v>
      </c>
      <c r="I9" s="480" t="s">
        <v>253</v>
      </c>
      <c r="J9" s="493" t="s">
        <v>254</v>
      </c>
      <c r="K9" s="258"/>
      <c r="L9" s="258"/>
    </row>
    <row r="10" spans="1:12" ht="27.65" customHeight="1" x14ac:dyDescent="0.25">
      <c r="A10" s="258"/>
      <c r="B10" s="258"/>
      <c r="C10" s="253"/>
      <c r="D10" s="114" t="s">
        <v>247</v>
      </c>
      <c r="E10" s="611"/>
      <c r="F10" s="545"/>
      <c r="G10" s="546"/>
      <c r="H10" s="546"/>
      <c r="I10" s="545"/>
      <c r="J10" s="552"/>
      <c r="K10" s="258"/>
      <c r="L10" s="258"/>
    </row>
    <row r="11" spans="1:12" ht="37.4" customHeight="1" x14ac:dyDescent="0.3">
      <c r="A11" s="258"/>
      <c r="B11" s="258"/>
      <c r="C11" s="113"/>
      <c r="D11" s="110" t="s">
        <v>248</v>
      </c>
      <c r="E11" s="611"/>
      <c r="F11" s="555"/>
      <c r="G11" s="556"/>
      <c r="H11" s="556"/>
      <c r="I11" s="555"/>
      <c r="J11" s="557"/>
      <c r="K11" s="258"/>
      <c r="L11" s="258"/>
    </row>
    <row r="12" spans="1:12" ht="37.4" customHeight="1" x14ac:dyDescent="0.3">
      <c r="A12" s="258"/>
      <c r="B12" s="258"/>
      <c r="C12" s="113"/>
      <c r="D12" s="110" t="s">
        <v>249</v>
      </c>
      <c r="E12" s="562"/>
      <c r="F12" s="563"/>
      <c r="G12" s="564"/>
      <c r="H12" s="564"/>
      <c r="I12" s="563"/>
      <c r="J12" s="565"/>
      <c r="K12" s="258"/>
      <c r="L12" s="258"/>
    </row>
    <row r="13" spans="1:12" ht="14.5" customHeight="1" thickBot="1" x14ac:dyDescent="0.35">
      <c r="A13" s="258"/>
      <c r="B13" s="258"/>
      <c r="C13" s="113"/>
      <c r="D13" s="112"/>
      <c r="E13" s="195" t="s">
        <v>61</v>
      </c>
      <c r="F13" s="195" t="s">
        <v>62</v>
      </c>
      <c r="G13" s="494" t="s">
        <v>63</v>
      </c>
      <c r="H13" s="494" t="s">
        <v>64</v>
      </c>
      <c r="I13" s="495" t="s">
        <v>65</v>
      </c>
      <c r="J13" s="496" t="s">
        <v>66</v>
      </c>
      <c r="K13" s="258"/>
      <c r="L13" s="258"/>
    </row>
    <row r="14" spans="1:12" s="119" customFormat="1" ht="32.5" customHeight="1" thickTop="1" x14ac:dyDescent="0.25">
      <c r="A14" s="258"/>
      <c r="B14" s="464"/>
      <c r="C14" s="138">
        <v>1</v>
      </c>
      <c r="D14" s="141" t="s">
        <v>250</v>
      </c>
      <c r="E14" s="33" t="s">
        <v>35</v>
      </c>
      <c r="F14" s="33" t="s">
        <v>36</v>
      </c>
      <c r="G14" s="314" t="s">
        <v>325</v>
      </c>
      <c r="H14" s="317" t="s">
        <v>252</v>
      </c>
      <c r="I14" s="480" t="s">
        <v>253</v>
      </c>
      <c r="J14" s="493" t="s">
        <v>254</v>
      </c>
      <c r="K14" s="464"/>
      <c r="L14" s="258"/>
    </row>
    <row r="15" spans="1:12" s="119" customFormat="1" ht="14.15" customHeight="1" x14ac:dyDescent="0.25">
      <c r="A15" s="258"/>
      <c r="B15" s="464"/>
      <c r="C15" s="113"/>
      <c r="D15" s="142"/>
      <c r="E15" s="111"/>
      <c r="F15" s="111"/>
      <c r="G15" s="497"/>
      <c r="H15" s="498"/>
      <c r="I15" s="499"/>
      <c r="J15" s="499"/>
      <c r="K15" s="464"/>
      <c r="L15" s="258"/>
    </row>
    <row r="16" spans="1:12" s="119" customFormat="1" ht="92.15" customHeight="1" x14ac:dyDescent="0.25">
      <c r="A16" s="258"/>
      <c r="B16" s="464"/>
      <c r="C16" s="111">
        <v>1.1000000000000001</v>
      </c>
      <c r="D16" s="118" t="s">
        <v>340</v>
      </c>
      <c r="E16" s="116" t="s">
        <v>42</v>
      </c>
      <c r="F16" s="111">
        <v>1</v>
      </c>
      <c r="G16" s="469"/>
      <c r="H16" s="469"/>
      <c r="I16" s="229">
        <f>H16+G16</f>
        <v>0</v>
      </c>
      <c r="J16" s="229">
        <f>I16*F16</f>
        <v>0</v>
      </c>
      <c r="K16" s="464"/>
      <c r="L16" s="258"/>
    </row>
    <row r="17" spans="1:12" s="119" customFormat="1" ht="100.4" customHeight="1" x14ac:dyDescent="0.25">
      <c r="A17" s="258"/>
      <c r="B17" s="464"/>
      <c r="C17" s="111">
        <v>1.2</v>
      </c>
      <c r="D17" s="118" t="s">
        <v>341</v>
      </c>
      <c r="E17" s="116" t="s">
        <v>42</v>
      </c>
      <c r="F17" s="111">
        <v>1</v>
      </c>
      <c r="G17" s="469"/>
      <c r="H17" s="469"/>
      <c r="I17" s="229">
        <f>H17+G17</f>
        <v>0</v>
      </c>
      <c r="J17" s="229">
        <f>I17*F17</f>
        <v>0</v>
      </c>
      <c r="K17" s="464"/>
      <c r="L17" s="258"/>
    </row>
    <row r="18" spans="1:12" ht="71.150000000000006" customHeight="1" x14ac:dyDescent="0.3">
      <c r="A18" s="258"/>
      <c r="B18" s="258"/>
      <c r="C18" s="138">
        <v>2</v>
      </c>
      <c r="D18" s="152" t="s">
        <v>257</v>
      </c>
      <c r="E18" s="610"/>
      <c r="F18" s="545"/>
      <c r="G18" s="546"/>
      <c r="H18" s="546"/>
      <c r="I18" s="545"/>
      <c r="J18" s="552"/>
      <c r="K18" s="258"/>
      <c r="L18" s="258"/>
    </row>
    <row r="19" spans="1:12" s="119" customFormat="1" ht="93.65" customHeight="1" x14ac:dyDescent="0.25">
      <c r="A19" s="258"/>
      <c r="B19" s="464"/>
      <c r="C19" s="113">
        <v>2.1</v>
      </c>
      <c r="D19" s="139" t="s">
        <v>342</v>
      </c>
      <c r="E19" s="111" t="s">
        <v>90</v>
      </c>
      <c r="F19" s="111">
        <v>2</v>
      </c>
      <c r="G19" s="470"/>
      <c r="H19" s="470"/>
      <c r="I19" s="471">
        <f>H19+G19</f>
        <v>0</v>
      </c>
      <c r="J19" s="471">
        <f>I19*F19</f>
        <v>0</v>
      </c>
      <c r="K19" s="464"/>
      <c r="L19" s="258"/>
    </row>
    <row r="20" spans="1:12" s="119" customFormat="1" ht="80.25" customHeight="1" x14ac:dyDescent="0.25">
      <c r="A20" s="258"/>
      <c r="B20" s="464"/>
      <c r="C20" s="113">
        <v>2.2000000000000002</v>
      </c>
      <c r="D20" s="139" t="s">
        <v>343</v>
      </c>
      <c r="E20" s="111" t="s">
        <v>328</v>
      </c>
      <c r="F20" s="111" t="s">
        <v>261</v>
      </c>
      <c r="G20" s="469"/>
      <c r="H20" s="469"/>
      <c r="I20" s="229">
        <f>H20+G20</f>
        <v>0</v>
      </c>
      <c r="J20" s="154"/>
      <c r="K20" s="464"/>
      <c r="L20" s="258"/>
    </row>
    <row r="21" spans="1:12" s="119" customFormat="1" ht="81" customHeight="1" x14ac:dyDescent="0.25">
      <c r="A21" s="258"/>
      <c r="B21" s="464"/>
      <c r="C21" s="113">
        <v>2.2999999999999998</v>
      </c>
      <c r="D21" s="139" t="s">
        <v>262</v>
      </c>
      <c r="E21" s="111" t="s">
        <v>328</v>
      </c>
      <c r="F21" s="111" t="s">
        <v>261</v>
      </c>
      <c r="G21" s="469"/>
      <c r="H21" s="469"/>
      <c r="I21" s="229">
        <f>H21+G21</f>
        <v>0</v>
      </c>
      <c r="J21" s="154"/>
      <c r="K21" s="464"/>
      <c r="L21" s="258"/>
    </row>
    <row r="22" spans="1:12" s="119" customFormat="1" ht="84.75" customHeight="1" x14ac:dyDescent="0.25">
      <c r="A22" s="258"/>
      <c r="B22" s="464"/>
      <c r="C22" s="113">
        <v>2.4</v>
      </c>
      <c r="D22" s="139" t="s">
        <v>263</v>
      </c>
      <c r="E22" s="111" t="s">
        <v>328</v>
      </c>
      <c r="F22" s="111" t="s">
        <v>261</v>
      </c>
      <c r="G22" s="469"/>
      <c r="H22" s="469"/>
      <c r="I22" s="229">
        <f>H22+G22</f>
        <v>0</v>
      </c>
      <c r="J22" s="154"/>
      <c r="K22" s="464"/>
      <c r="L22" s="258"/>
    </row>
    <row r="23" spans="1:12" s="119" customFormat="1" ht="16.5" customHeight="1" thickBot="1" x14ac:dyDescent="0.35">
      <c r="A23" s="258"/>
      <c r="B23" s="464"/>
      <c r="C23" s="113"/>
      <c r="D23" s="139"/>
      <c r="E23" s="195" t="s">
        <v>61</v>
      </c>
      <c r="F23" s="195" t="s">
        <v>62</v>
      </c>
      <c r="G23" s="494" t="s">
        <v>63</v>
      </c>
      <c r="H23" s="494" t="s">
        <v>64</v>
      </c>
      <c r="I23" s="495" t="s">
        <v>65</v>
      </c>
      <c r="J23" s="496" t="s">
        <v>66</v>
      </c>
      <c r="K23" s="464"/>
      <c r="L23" s="258"/>
    </row>
    <row r="24" spans="1:12" s="119" customFormat="1" ht="27" customHeight="1" thickTop="1" x14ac:dyDescent="0.25">
      <c r="A24" s="258"/>
      <c r="B24" s="464"/>
      <c r="C24" s="138">
        <v>3</v>
      </c>
      <c r="D24" s="141" t="s">
        <v>264</v>
      </c>
      <c r="E24" s="33" t="s">
        <v>35</v>
      </c>
      <c r="F24" s="33" t="s">
        <v>36</v>
      </c>
      <c r="G24" s="314" t="s">
        <v>325</v>
      </c>
      <c r="H24" s="317" t="s">
        <v>252</v>
      </c>
      <c r="I24" s="480" t="s">
        <v>253</v>
      </c>
      <c r="J24" s="493" t="s">
        <v>254</v>
      </c>
      <c r="K24" s="464"/>
      <c r="L24" s="258"/>
    </row>
    <row r="25" spans="1:12" s="119" customFormat="1" ht="41.25" customHeight="1" x14ac:dyDescent="0.25">
      <c r="A25" s="258"/>
      <c r="B25" s="464"/>
      <c r="C25" s="113">
        <v>3.1</v>
      </c>
      <c r="D25" s="140" t="s">
        <v>344</v>
      </c>
      <c r="E25" s="111" t="s">
        <v>328</v>
      </c>
      <c r="F25" s="122">
        <f>3*2</f>
        <v>6</v>
      </c>
      <c r="G25" s="469"/>
      <c r="H25" s="469"/>
      <c r="I25" s="229">
        <f t="shared" ref="I25:I30" si="0">H25+G25</f>
        <v>0</v>
      </c>
      <c r="J25" s="229">
        <f>I25*F25</f>
        <v>0</v>
      </c>
      <c r="K25" s="464"/>
      <c r="L25" s="258"/>
    </row>
    <row r="26" spans="1:12" s="119" customFormat="1" ht="28" customHeight="1" x14ac:dyDescent="0.25">
      <c r="A26" s="258"/>
      <c r="B26" s="464"/>
      <c r="C26" s="113">
        <v>3.2</v>
      </c>
      <c r="D26" s="140" t="s">
        <v>345</v>
      </c>
      <c r="E26" s="111" t="s">
        <v>328</v>
      </c>
      <c r="F26" s="122" t="s">
        <v>266</v>
      </c>
      <c r="G26" s="469"/>
      <c r="H26" s="469"/>
      <c r="I26" s="229">
        <f t="shared" si="0"/>
        <v>0</v>
      </c>
      <c r="J26" s="154"/>
      <c r="K26" s="464"/>
      <c r="L26" s="258"/>
    </row>
    <row r="27" spans="1:12" s="119" customFormat="1" ht="28" customHeight="1" x14ac:dyDescent="0.25">
      <c r="A27" s="258"/>
      <c r="B27" s="464"/>
      <c r="C27" s="113">
        <v>3.3</v>
      </c>
      <c r="D27" s="140" t="s">
        <v>346</v>
      </c>
      <c r="E27" s="111" t="s">
        <v>328</v>
      </c>
      <c r="F27" s="122" t="s">
        <v>266</v>
      </c>
      <c r="G27" s="469"/>
      <c r="H27" s="469"/>
      <c r="I27" s="229">
        <f t="shared" si="0"/>
        <v>0</v>
      </c>
      <c r="J27" s="154"/>
      <c r="K27" s="464"/>
      <c r="L27" s="258"/>
    </row>
    <row r="28" spans="1:12" s="119" customFormat="1" ht="28" customHeight="1" x14ac:dyDescent="0.25">
      <c r="A28" s="258"/>
      <c r="B28" s="464"/>
      <c r="C28" s="113">
        <v>3.4</v>
      </c>
      <c r="D28" s="140" t="s">
        <v>265</v>
      </c>
      <c r="E28" s="111" t="s">
        <v>328</v>
      </c>
      <c r="F28" s="122" t="s">
        <v>266</v>
      </c>
      <c r="G28" s="469"/>
      <c r="H28" s="469"/>
      <c r="I28" s="229">
        <f t="shared" si="0"/>
        <v>0</v>
      </c>
      <c r="J28" s="154"/>
      <c r="K28" s="464"/>
      <c r="L28" s="258"/>
    </row>
    <row r="29" spans="1:12" s="119" customFormat="1" ht="37.4" customHeight="1" x14ac:dyDescent="0.25">
      <c r="A29" s="258"/>
      <c r="B29" s="464"/>
      <c r="C29" s="113">
        <v>3.5</v>
      </c>
      <c r="D29" s="139" t="s">
        <v>269</v>
      </c>
      <c r="E29" s="122" t="s">
        <v>90</v>
      </c>
      <c r="F29" s="122">
        <v>2</v>
      </c>
      <c r="G29" s="469"/>
      <c r="H29" s="469"/>
      <c r="I29" s="229">
        <f t="shared" si="0"/>
        <v>0</v>
      </c>
      <c r="J29" s="229">
        <f>I29*F29</f>
        <v>0</v>
      </c>
      <c r="K29" s="464"/>
      <c r="L29" s="258"/>
    </row>
    <row r="30" spans="1:12" s="119" customFormat="1" ht="174.65" customHeight="1" x14ac:dyDescent="0.25">
      <c r="A30" s="258"/>
      <c r="B30" s="464"/>
      <c r="C30" s="113">
        <v>3.6</v>
      </c>
      <c r="D30" s="153" t="s">
        <v>270</v>
      </c>
      <c r="E30" s="122" t="s">
        <v>90</v>
      </c>
      <c r="F30" s="122">
        <v>1</v>
      </c>
      <c r="G30" s="469"/>
      <c r="H30" s="469"/>
      <c r="I30" s="229">
        <f t="shared" si="0"/>
        <v>0</v>
      </c>
      <c r="J30" s="229">
        <f>I30*F30</f>
        <v>0</v>
      </c>
      <c r="K30" s="464"/>
      <c r="L30" s="258"/>
    </row>
    <row r="31" spans="1:12" s="119" customFormat="1" ht="16.5" customHeight="1" thickBot="1" x14ac:dyDescent="0.35">
      <c r="A31" s="258"/>
      <c r="B31" s="464"/>
      <c r="C31" s="113"/>
      <c r="D31" s="139"/>
      <c r="E31" s="195" t="s">
        <v>61</v>
      </c>
      <c r="F31" s="195" t="s">
        <v>62</v>
      </c>
      <c r="G31" s="494" t="s">
        <v>63</v>
      </c>
      <c r="H31" s="494" t="s">
        <v>64</v>
      </c>
      <c r="I31" s="495" t="s">
        <v>65</v>
      </c>
      <c r="J31" s="496" t="s">
        <v>66</v>
      </c>
      <c r="K31" s="464"/>
      <c r="L31" s="258"/>
    </row>
    <row r="32" spans="1:12" s="119" customFormat="1" ht="31.5" customHeight="1" thickTop="1" x14ac:dyDescent="0.25">
      <c r="A32" s="258"/>
      <c r="B32" s="464"/>
      <c r="C32" s="138">
        <v>4</v>
      </c>
      <c r="D32" s="141" t="s">
        <v>272</v>
      </c>
      <c r="E32" s="33" t="s">
        <v>35</v>
      </c>
      <c r="F32" s="33" t="s">
        <v>36</v>
      </c>
      <c r="G32" s="314" t="s">
        <v>325</v>
      </c>
      <c r="H32" s="317" t="s">
        <v>252</v>
      </c>
      <c r="I32" s="480" t="s">
        <v>253</v>
      </c>
      <c r="J32" s="493" t="s">
        <v>254</v>
      </c>
      <c r="K32" s="464"/>
      <c r="L32" s="258"/>
    </row>
    <row r="33" spans="1:12" s="119" customFormat="1" ht="42" customHeight="1" x14ac:dyDescent="0.25">
      <c r="A33" s="258"/>
      <c r="B33" s="464"/>
      <c r="C33" s="113">
        <v>4.0999999999999996</v>
      </c>
      <c r="D33" s="139" t="s">
        <v>347</v>
      </c>
      <c r="E33" s="111" t="s">
        <v>90</v>
      </c>
      <c r="F33" s="111">
        <v>2</v>
      </c>
      <c r="G33" s="469"/>
      <c r="H33" s="469"/>
      <c r="I33" s="229">
        <f>H33+G33</f>
        <v>0</v>
      </c>
      <c r="J33" s="229">
        <f>I33*F33</f>
        <v>0</v>
      </c>
      <c r="K33" s="464"/>
      <c r="L33" s="258"/>
    </row>
    <row r="34" spans="1:12" s="119" customFormat="1" ht="54" customHeight="1" x14ac:dyDescent="0.25">
      <c r="A34" s="258"/>
      <c r="B34" s="464"/>
      <c r="C34" s="113">
        <v>4.2</v>
      </c>
      <c r="D34" s="139" t="s">
        <v>348</v>
      </c>
      <c r="E34" s="111" t="s">
        <v>90</v>
      </c>
      <c r="F34" s="111" t="s">
        <v>266</v>
      </c>
      <c r="G34" s="469"/>
      <c r="H34" s="469"/>
      <c r="I34" s="229">
        <f>H34+G34</f>
        <v>0</v>
      </c>
      <c r="J34" s="154"/>
      <c r="K34" s="464"/>
      <c r="L34" s="258"/>
    </row>
    <row r="35" spans="1:12" s="119" customFormat="1" ht="42" customHeight="1" x14ac:dyDescent="0.25">
      <c r="A35" s="258"/>
      <c r="B35" s="464"/>
      <c r="C35" s="113">
        <v>4.3</v>
      </c>
      <c r="D35" s="139" t="s">
        <v>349</v>
      </c>
      <c r="E35" s="111" t="s">
        <v>90</v>
      </c>
      <c r="F35" s="111">
        <v>1</v>
      </c>
      <c r="G35" s="469"/>
      <c r="H35" s="469"/>
      <c r="I35" s="229">
        <f>H35+G35</f>
        <v>0</v>
      </c>
      <c r="J35" s="212">
        <f>I35*F35</f>
        <v>0</v>
      </c>
      <c r="K35" s="464"/>
      <c r="L35" s="258"/>
    </row>
    <row r="36" spans="1:12" s="119" customFormat="1" ht="49.5" customHeight="1" x14ac:dyDescent="0.25">
      <c r="A36" s="258"/>
      <c r="B36" s="464"/>
      <c r="C36" s="113">
        <v>4.4000000000000004</v>
      </c>
      <c r="D36" s="139" t="s">
        <v>273</v>
      </c>
      <c r="E36" s="111" t="s">
        <v>90</v>
      </c>
      <c r="F36" s="111" t="s">
        <v>266</v>
      </c>
      <c r="G36" s="469"/>
      <c r="H36" s="469"/>
      <c r="I36" s="229">
        <f>H36+G36</f>
        <v>0</v>
      </c>
      <c r="J36" s="154"/>
      <c r="K36" s="464"/>
      <c r="L36" s="258"/>
    </row>
    <row r="37" spans="1:12" s="119" customFormat="1" ht="35.5" customHeight="1" x14ac:dyDescent="0.25">
      <c r="A37" s="258"/>
      <c r="B37" s="464"/>
      <c r="C37" s="113">
        <v>4.5</v>
      </c>
      <c r="D37" s="140" t="s">
        <v>276</v>
      </c>
      <c r="E37" s="111" t="s">
        <v>42</v>
      </c>
      <c r="F37" s="111">
        <v>1</v>
      </c>
      <c r="G37" s="469"/>
      <c r="H37" s="469"/>
      <c r="I37" s="229">
        <f>H37+G37</f>
        <v>0</v>
      </c>
      <c r="J37" s="212">
        <f>I37*F37</f>
        <v>0</v>
      </c>
      <c r="K37" s="464"/>
      <c r="L37" s="258"/>
    </row>
    <row r="38" spans="1:12" s="119" customFormat="1" ht="16.5" customHeight="1" x14ac:dyDescent="0.25">
      <c r="A38" s="258"/>
      <c r="B38" s="464"/>
      <c r="C38" s="138">
        <v>5</v>
      </c>
      <c r="D38" s="141" t="s">
        <v>277</v>
      </c>
      <c r="E38" s="610"/>
      <c r="F38" s="545"/>
      <c r="G38" s="546"/>
      <c r="H38" s="546"/>
      <c r="I38" s="545"/>
      <c r="J38" s="552"/>
      <c r="K38" s="464"/>
      <c r="L38" s="258"/>
    </row>
    <row r="39" spans="1:12" s="119" customFormat="1" ht="28" customHeight="1" x14ac:dyDescent="0.25">
      <c r="A39" s="258"/>
      <c r="B39" s="464"/>
      <c r="C39" s="113">
        <v>5.0999999999999996</v>
      </c>
      <c r="D39" s="142" t="s">
        <v>278</v>
      </c>
      <c r="E39" s="610"/>
      <c r="F39" s="555"/>
      <c r="G39" s="556"/>
      <c r="H39" s="556"/>
      <c r="I39" s="555"/>
      <c r="J39" s="557"/>
      <c r="K39" s="464"/>
      <c r="L39" s="258"/>
    </row>
    <row r="40" spans="1:12" s="119" customFormat="1" ht="14.15" customHeight="1" x14ac:dyDescent="0.25">
      <c r="A40" s="258"/>
      <c r="B40" s="464"/>
      <c r="C40" s="113">
        <v>5.2</v>
      </c>
      <c r="D40" s="141" t="s">
        <v>279</v>
      </c>
      <c r="E40" s="562"/>
      <c r="F40" s="563"/>
      <c r="G40" s="564"/>
      <c r="H40" s="564"/>
      <c r="I40" s="563"/>
      <c r="J40" s="565"/>
      <c r="K40" s="464"/>
      <c r="L40" s="258"/>
    </row>
    <row r="41" spans="1:12" s="119" customFormat="1" ht="14.5" customHeight="1" thickBot="1" x14ac:dyDescent="0.35">
      <c r="A41" s="258"/>
      <c r="B41" s="464"/>
      <c r="C41" s="113"/>
      <c r="D41" s="142"/>
      <c r="E41" s="195" t="s">
        <v>61</v>
      </c>
      <c r="F41" s="195" t="s">
        <v>62</v>
      </c>
      <c r="G41" s="494" t="s">
        <v>63</v>
      </c>
      <c r="H41" s="494" t="s">
        <v>64</v>
      </c>
      <c r="I41" s="495" t="s">
        <v>65</v>
      </c>
      <c r="J41" s="496" t="s">
        <v>66</v>
      </c>
      <c r="K41" s="464"/>
      <c r="L41" s="258"/>
    </row>
    <row r="42" spans="1:12" s="119" customFormat="1" ht="42.65" customHeight="1" thickTop="1" x14ac:dyDescent="0.25">
      <c r="A42" s="258"/>
      <c r="B42" s="464"/>
      <c r="C42" s="113"/>
      <c r="D42" s="115" t="s">
        <v>280</v>
      </c>
      <c r="E42" s="33" t="s">
        <v>35</v>
      </c>
      <c r="F42" s="33" t="s">
        <v>36</v>
      </c>
      <c r="G42" s="314" t="s">
        <v>325</v>
      </c>
      <c r="H42" s="317" t="s">
        <v>252</v>
      </c>
      <c r="I42" s="480" t="s">
        <v>253</v>
      </c>
      <c r="J42" s="493" t="s">
        <v>254</v>
      </c>
      <c r="K42" s="464"/>
      <c r="L42" s="258"/>
    </row>
    <row r="43" spans="1:12" s="119" customFormat="1" ht="14.15" customHeight="1" x14ac:dyDescent="0.25">
      <c r="A43" s="258"/>
      <c r="B43" s="464"/>
      <c r="C43" s="111" t="s">
        <v>281</v>
      </c>
      <c r="D43" s="117" t="s">
        <v>282</v>
      </c>
      <c r="E43" s="116" t="s">
        <v>108</v>
      </c>
      <c r="F43" s="111">
        <f>((2*20)*2)*1.1</f>
        <v>88</v>
      </c>
      <c r="G43" s="469"/>
      <c r="H43" s="469"/>
      <c r="I43" s="229">
        <f>H43+G43</f>
        <v>0</v>
      </c>
      <c r="J43" s="229">
        <f>I43*F43</f>
        <v>0</v>
      </c>
      <c r="K43" s="464"/>
      <c r="L43" s="258"/>
    </row>
    <row r="44" spans="1:12" s="119" customFormat="1" ht="14.15" customHeight="1" x14ac:dyDescent="0.25">
      <c r="A44" s="258"/>
      <c r="B44" s="464"/>
      <c r="C44" s="111" t="s">
        <v>283</v>
      </c>
      <c r="D44" s="117" t="s">
        <v>350</v>
      </c>
      <c r="E44" s="116" t="s">
        <v>108</v>
      </c>
      <c r="F44" s="111">
        <v>1</v>
      </c>
      <c r="G44" s="469"/>
      <c r="H44" s="469"/>
      <c r="I44" s="229">
        <f>H44+G44</f>
        <v>0</v>
      </c>
      <c r="J44" s="154"/>
      <c r="K44" s="464"/>
      <c r="L44" s="258"/>
    </row>
    <row r="45" spans="1:12" s="119" customFormat="1" ht="14.15" customHeight="1" x14ac:dyDescent="0.25">
      <c r="A45" s="258"/>
      <c r="B45" s="464"/>
      <c r="C45" s="111" t="s">
        <v>285</v>
      </c>
      <c r="D45" s="117" t="s">
        <v>286</v>
      </c>
      <c r="E45" s="116" t="s">
        <v>108</v>
      </c>
      <c r="F45" s="111">
        <f>20*2</f>
        <v>40</v>
      </c>
      <c r="G45" s="469"/>
      <c r="H45" s="469"/>
      <c r="I45" s="229">
        <f>H45+G45</f>
        <v>0</v>
      </c>
      <c r="J45" s="229">
        <f>I45*F45</f>
        <v>0</v>
      </c>
      <c r="K45" s="464"/>
      <c r="L45" s="258"/>
    </row>
    <row r="46" spans="1:12" s="119" customFormat="1" ht="14.15" customHeight="1" x14ac:dyDescent="0.25">
      <c r="A46" s="258"/>
      <c r="B46" s="464"/>
      <c r="C46" s="113">
        <v>5.3</v>
      </c>
      <c r="D46" s="141" t="s">
        <v>287</v>
      </c>
      <c r="E46" s="610"/>
      <c r="F46" s="545"/>
      <c r="G46" s="546"/>
      <c r="H46" s="546"/>
      <c r="I46" s="545"/>
      <c r="J46" s="552"/>
      <c r="K46" s="464"/>
      <c r="L46" s="258"/>
    </row>
    <row r="47" spans="1:12" s="119" customFormat="1" ht="14.15" customHeight="1" x14ac:dyDescent="0.25">
      <c r="A47" s="258"/>
      <c r="B47" s="464"/>
      <c r="C47" s="113"/>
      <c r="D47" s="117" t="s">
        <v>288</v>
      </c>
      <c r="E47" s="553"/>
      <c r="F47" s="545"/>
      <c r="G47" s="546"/>
      <c r="H47" s="546"/>
      <c r="I47" s="545"/>
      <c r="J47" s="552"/>
      <c r="K47" s="464"/>
      <c r="L47" s="258"/>
    </row>
    <row r="48" spans="1:12" s="119" customFormat="1" ht="14.15" customHeight="1" x14ac:dyDescent="0.25">
      <c r="A48" s="258"/>
      <c r="B48" s="464"/>
      <c r="C48" s="111" t="s">
        <v>289</v>
      </c>
      <c r="D48" s="117" t="s">
        <v>330</v>
      </c>
      <c r="E48" s="116" t="s">
        <v>108</v>
      </c>
      <c r="F48" s="144">
        <f>15*2</f>
        <v>30</v>
      </c>
      <c r="G48" s="469"/>
      <c r="H48" s="469"/>
      <c r="I48" s="229">
        <f>H48+G48</f>
        <v>0</v>
      </c>
      <c r="J48" s="229">
        <f>I48*F48</f>
        <v>0</v>
      </c>
      <c r="K48" s="464"/>
      <c r="L48" s="258"/>
    </row>
    <row r="49" spans="1:12" s="119" customFormat="1" ht="14.15" customHeight="1" x14ac:dyDescent="0.25">
      <c r="A49" s="258"/>
      <c r="B49" s="464"/>
      <c r="C49" s="113">
        <v>5.4</v>
      </c>
      <c r="D49" s="141" t="s">
        <v>291</v>
      </c>
      <c r="E49" s="610"/>
      <c r="F49" s="545"/>
      <c r="G49" s="546"/>
      <c r="H49" s="546"/>
      <c r="I49" s="545"/>
      <c r="J49" s="552"/>
      <c r="K49" s="464"/>
      <c r="L49" s="258"/>
    </row>
    <row r="50" spans="1:12" s="119" customFormat="1" ht="14.15" customHeight="1" x14ac:dyDescent="0.25">
      <c r="A50" s="258"/>
      <c r="B50" s="464"/>
      <c r="C50" s="113"/>
      <c r="D50" s="117" t="s">
        <v>292</v>
      </c>
      <c r="E50" s="610"/>
      <c r="F50" s="555"/>
      <c r="G50" s="556"/>
      <c r="H50" s="556"/>
      <c r="I50" s="555"/>
      <c r="J50" s="557"/>
      <c r="K50" s="464"/>
      <c r="L50" s="258"/>
    </row>
    <row r="51" spans="1:12" s="119" customFormat="1" ht="28" customHeight="1" x14ac:dyDescent="0.25">
      <c r="A51" s="258"/>
      <c r="B51" s="464"/>
      <c r="C51" s="121"/>
      <c r="D51" s="117" t="s">
        <v>174</v>
      </c>
      <c r="E51" s="562"/>
      <c r="F51" s="563"/>
      <c r="G51" s="564"/>
      <c r="H51" s="564"/>
      <c r="I51" s="563"/>
      <c r="J51" s="565"/>
      <c r="K51" s="464"/>
      <c r="L51" s="258"/>
    </row>
    <row r="52" spans="1:12" s="474" customFormat="1" ht="14.15" customHeight="1" x14ac:dyDescent="0.25">
      <c r="A52" s="258"/>
      <c r="B52" s="475"/>
      <c r="C52" s="111" t="s">
        <v>293</v>
      </c>
      <c r="D52" s="117" t="s">
        <v>282</v>
      </c>
      <c r="E52" s="111" t="s">
        <v>328</v>
      </c>
      <c r="F52" s="111">
        <f>3*2*2</f>
        <v>12</v>
      </c>
      <c r="G52" s="469"/>
      <c r="H52" s="469"/>
      <c r="I52" s="229">
        <f>G52+H52</f>
        <v>0</v>
      </c>
      <c r="J52" s="229">
        <f>I52*F52</f>
        <v>0</v>
      </c>
      <c r="K52" s="464"/>
      <c r="L52" s="476"/>
    </row>
    <row r="53" spans="1:12" s="119" customFormat="1" ht="14.15" customHeight="1" x14ac:dyDescent="0.25">
      <c r="A53" s="258"/>
      <c r="B53" s="464"/>
      <c r="C53" s="111" t="s">
        <v>294</v>
      </c>
      <c r="D53" s="117" t="s">
        <v>350</v>
      </c>
      <c r="E53" s="116" t="s">
        <v>108</v>
      </c>
      <c r="F53" s="111">
        <v>1</v>
      </c>
      <c r="G53" s="469"/>
      <c r="H53" s="469"/>
      <c r="I53" s="229">
        <f>G53+H53</f>
        <v>0</v>
      </c>
      <c r="J53" s="154"/>
      <c r="K53" s="464"/>
      <c r="L53" s="258"/>
    </row>
    <row r="54" spans="1:12" s="474" customFormat="1" ht="14.15" customHeight="1" x14ac:dyDescent="0.25">
      <c r="A54" s="258"/>
      <c r="B54" s="475"/>
      <c r="C54" s="111" t="s">
        <v>295</v>
      </c>
      <c r="D54" s="117" t="s">
        <v>177</v>
      </c>
      <c r="E54" s="111" t="s">
        <v>328</v>
      </c>
      <c r="F54" s="111">
        <f>2*2</f>
        <v>4</v>
      </c>
      <c r="G54" s="469"/>
      <c r="H54" s="469"/>
      <c r="I54" s="229">
        <f>G54+H54</f>
        <v>0</v>
      </c>
      <c r="J54" s="229">
        <f>I54*F54</f>
        <v>0</v>
      </c>
      <c r="K54" s="464"/>
      <c r="L54" s="476"/>
    </row>
    <row r="55" spans="1:12" s="474" customFormat="1" ht="14.15" customHeight="1" x14ac:dyDescent="0.25">
      <c r="A55" s="258"/>
      <c r="B55" s="475"/>
      <c r="C55" s="111" t="s">
        <v>296</v>
      </c>
      <c r="D55" s="117" t="s">
        <v>297</v>
      </c>
      <c r="E55" s="111" t="s">
        <v>328</v>
      </c>
      <c r="F55" s="111">
        <f>4*2</f>
        <v>8</v>
      </c>
      <c r="G55" s="469"/>
      <c r="H55" s="469"/>
      <c r="I55" s="229">
        <f>G55+H55</f>
        <v>0</v>
      </c>
      <c r="J55" s="229">
        <f>I55*F55</f>
        <v>0</v>
      </c>
      <c r="K55" s="464"/>
      <c r="L55" s="476"/>
    </row>
    <row r="56" spans="1:12" s="119" customFormat="1" ht="14.5" customHeight="1" thickBot="1" x14ac:dyDescent="0.35">
      <c r="A56" s="258"/>
      <c r="B56" s="464"/>
      <c r="C56" s="121"/>
      <c r="D56" s="115"/>
      <c r="E56" s="232" t="s">
        <v>61</v>
      </c>
      <c r="F56" s="232" t="s">
        <v>62</v>
      </c>
      <c r="G56" s="500" t="s">
        <v>63</v>
      </c>
      <c r="H56" s="500" t="s">
        <v>64</v>
      </c>
      <c r="I56" s="501" t="s">
        <v>65</v>
      </c>
      <c r="J56" s="502" t="s">
        <v>66</v>
      </c>
      <c r="K56" s="464"/>
      <c r="L56" s="258"/>
    </row>
    <row r="57" spans="1:12" s="119" customFormat="1" ht="28.5" customHeight="1" thickTop="1" x14ac:dyDescent="0.25">
      <c r="A57" s="258"/>
      <c r="B57" s="464"/>
      <c r="C57" s="113">
        <v>5.5</v>
      </c>
      <c r="D57" s="141" t="s">
        <v>298</v>
      </c>
      <c r="E57" s="156" t="s">
        <v>35</v>
      </c>
      <c r="F57" s="156" t="s">
        <v>36</v>
      </c>
      <c r="G57" s="485" t="s">
        <v>325</v>
      </c>
      <c r="H57" s="486" t="s">
        <v>252</v>
      </c>
      <c r="I57" s="487" t="s">
        <v>253</v>
      </c>
      <c r="J57" s="503" t="s">
        <v>254</v>
      </c>
      <c r="K57" s="464"/>
      <c r="L57" s="258"/>
    </row>
    <row r="58" spans="1:12" s="119" customFormat="1" ht="28" customHeight="1" x14ac:dyDescent="0.25">
      <c r="A58" s="258"/>
      <c r="B58" s="464"/>
      <c r="C58" s="111" t="s">
        <v>299</v>
      </c>
      <c r="D58" s="117" t="s">
        <v>199</v>
      </c>
      <c r="E58" s="116" t="s">
        <v>108</v>
      </c>
      <c r="F58" s="111">
        <f>20*2</f>
        <v>40</v>
      </c>
      <c r="G58" s="469"/>
      <c r="H58" s="469"/>
      <c r="I58" s="229">
        <f>H58+G58</f>
        <v>0</v>
      </c>
      <c r="J58" s="229">
        <f>I58*F58</f>
        <v>0</v>
      </c>
      <c r="K58" s="464"/>
      <c r="L58" s="258"/>
    </row>
    <row r="59" spans="1:12" s="119" customFormat="1" ht="28" customHeight="1" x14ac:dyDescent="0.25">
      <c r="A59" s="258"/>
      <c r="B59" s="464"/>
      <c r="C59" s="111" t="s">
        <v>300</v>
      </c>
      <c r="D59" s="117" t="s">
        <v>301</v>
      </c>
      <c r="E59" s="116" t="s">
        <v>42</v>
      </c>
      <c r="F59" s="111">
        <v>1</v>
      </c>
      <c r="G59" s="469"/>
      <c r="H59" s="469"/>
      <c r="I59" s="229">
        <f>H59+G59</f>
        <v>0</v>
      </c>
      <c r="J59" s="229">
        <f>I59*F59</f>
        <v>0</v>
      </c>
      <c r="K59" s="464"/>
      <c r="L59" s="258"/>
    </row>
    <row r="60" spans="1:12" s="119" customFormat="1" ht="14.15" customHeight="1" x14ac:dyDescent="0.25">
      <c r="A60" s="258"/>
      <c r="B60" s="464"/>
      <c r="C60" s="113">
        <v>6</v>
      </c>
      <c r="D60" s="141" t="s">
        <v>302</v>
      </c>
      <c r="E60" s="225"/>
      <c r="F60" s="225"/>
      <c r="G60" s="504"/>
      <c r="H60" s="504"/>
      <c r="I60" s="226"/>
      <c r="J60" s="226"/>
      <c r="K60" s="464"/>
      <c r="L60" s="258"/>
    </row>
    <row r="61" spans="1:12" s="119" customFormat="1" ht="14.15" customHeight="1" x14ac:dyDescent="0.25">
      <c r="A61" s="258"/>
      <c r="B61" s="464"/>
      <c r="C61" s="113"/>
      <c r="D61" s="117" t="s">
        <v>303</v>
      </c>
      <c r="E61" s="111"/>
      <c r="F61" s="553"/>
      <c r="G61" s="546"/>
      <c r="H61" s="546"/>
      <c r="I61" s="545"/>
      <c r="J61" s="552"/>
      <c r="K61" s="464"/>
      <c r="L61" s="258"/>
    </row>
    <row r="62" spans="1:12" s="119" customFormat="1" ht="14.15" customHeight="1" x14ac:dyDescent="0.25">
      <c r="A62" s="258"/>
      <c r="B62" s="464"/>
      <c r="C62" s="111">
        <v>6.1</v>
      </c>
      <c r="D62" s="117" t="s">
        <v>305</v>
      </c>
      <c r="E62" s="116" t="s">
        <v>108</v>
      </c>
      <c r="F62" s="111">
        <v>20</v>
      </c>
      <c r="G62" s="469"/>
      <c r="H62" s="469"/>
      <c r="I62" s="229">
        <f t="shared" ref="I62:I67" si="1">H62+G62</f>
        <v>0</v>
      </c>
      <c r="J62" s="229">
        <f t="shared" ref="J62:J67" si="2">I62*F62</f>
        <v>0</v>
      </c>
      <c r="K62" s="464"/>
      <c r="L62" s="258"/>
    </row>
    <row r="63" spans="1:12" s="119" customFormat="1" ht="14.15" customHeight="1" x14ac:dyDescent="0.25">
      <c r="A63" s="258"/>
      <c r="B63" s="464"/>
      <c r="C63" s="111">
        <v>6.2</v>
      </c>
      <c r="D63" s="117" t="s">
        <v>307</v>
      </c>
      <c r="E63" s="116" t="s">
        <v>108</v>
      </c>
      <c r="F63" s="111">
        <v>20</v>
      </c>
      <c r="G63" s="469"/>
      <c r="H63" s="469"/>
      <c r="I63" s="229">
        <f t="shared" si="1"/>
        <v>0</v>
      </c>
      <c r="J63" s="229">
        <f t="shared" si="2"/>
        <v>0</v>
      </c>
      <c r="K63" s="464"/>
      <c r="L63" s="258"/>
    </row>
    <row r="64" spans="1:12" s="119" customFormat="1" ht="14.15" customHeight="1" x14ac:dyDescent="0.25">
      <c r="A64" s="258"/>
      <c r="B64" s="464"/>
      <c r="C64" s="111">
        <v>6.3</v>
      </c>
      <c r="D64" s="117" t="s">
        <v>309</v>
      </c>
      <c r="E64" s="116" t="s">
        <v>108</v>
      </c>
      <c r="F64" s="111">
        <v>20</v>
      </c>
      <c r="G64" s="469"/>
      <c r="H64" s="469"/>
      <c r="I64" s="229">
        <f t="shared" si="1"/>
        <v>0</v>
      </c>
      <c r="J64" s="229">
        <f t="shared" si="2"/>
        <v>0</v>
      </c>
      <c r="K64" s="464"/>
      <c r="L64" s="258"/>
    </row>
    <row r="65" spans="1:12" s="119" customFormat="1" ht="28" customHeight="1" x14ac:dyDescent="0.25">
      <c r="A65" s="258"/>
      <c r="B65" s="464"/>
      <c r="C65" s="111">
        <v>6.4</v>
      </c>
      <c r="D65" s="118" t="s">
        <v>311</v>
      </c>
      <c r="E65" s="116" t="s">
        <v>108</v>
      </c>
      <c r="F65" s="111">
        <v>20</v>
      </c>
      <c r="G65" s="469"/>
      <c r="H65" s="469"/>
      <c r="I65" s="229">
        <f t="shared" si="1"/>
        <v>0</v>
      </c>
      <c r="J65" s="229">
        <f t="shared" si="2"/>
        <v>0</v>
      </c>
      <c r="K65" s="464"/>
      <c r="L65" s="258"/>
    </row>
    <row r="66" spans="1:12" s="119" customFormat="1" ht="28" customHeight="1" x14ac:dyDescent="0.25">
      <c r="A66" s="258"/>
      <c r="B66" s="464"/>
      <c r="C66" s="111">
        <v>6.5</v>
      </c>
      <c r="D66" s="118" t="s">
        <v>313</v>
      </c>
      <c r="E66" s="116" t="s">
        <v>108</v>
      </c>
      <c r="F66" s="111">
        <v>20</v>
      </c>
      <c r="G66" s="469"/>
      <c r="H66" s="469"/>
      <c r="I66" s="229">
        <f t="shared" si="1"/>
        <v>0</v>
      </c>
      <c r="J66" s="229">
        <f t="shared" si="2"/>
        <v>0</v>
      </c>
      <c r="K66" s="464"/>
      <c r="L66" s="258"/>
    </row>
    <row r="67" spans="1:12" s="119" customFormat="1" ht="14.15" customHeight="1" x14ac:dyDescent="0.25">
      <c r="A67" s="258"/>
      <c r="B67" s="464"/>
      <c r="C67" s="111">
        <v>6.6</v>
      </c>
      <c r="D67" s="117" t="s">
        <v>315</v>
      </c>
      <c r="E67" s="116" t="s">
        <v>108</v>
      </c>
      <c r="F67" s="111">
        <v>20</v>
      </c>
      <c r="G67" s="469"/>
      <c r="H67" s="469"/>
      <c r="I67" s="229">
        <f t="shared" si="1"/>
        <v>0</v>
      </c>
      <c r="J67" s="229">
        <f t="shared" si="2"/>
        <v>0</v>
      </c>
      <c r="K67" s="464"/>
      <c r="L67" s="258"/>
    </row>
    <row r="68" spans="1:12" s="119" customFormat="1" ht="14.5" customHeight="1" thickBot="1" x14ac:dyDescent="0.35">
      <c r="A68" s="258"/>
      <c r="B68" s="464"/>
      <c r="C68" s="111"/>
      <c r="D68" s="117"/>
      <c r="E68" s="232" t="s">
        <v>61</v>
      </c>
      <c r="F68" s="232" t="s">
        <v>62</v>
      </c>
      <c r="G68" s="500" t="s">
        <v>63</v>
      </c>
      <c r="H68" s="500" t="s">
        <v>64</v>
      </c>
      <c r="I68" s="501" t="s">
        <v>65</v>
      </c>
      <c r="J68" s="502" t="s">
        <v>66</v>
      </c>
      <c r="K68" s="464"/>
      <c r="L68" s="258"/>
    </row>
    <row r="69" spans="1:12" s="119" customFormat="1" ht="31.5" customHeight="1" thickTop="1" x14ac:dyDescent="0.25">
      <c r="A69" s="258"/>
      <c r="B69" s="464"/>
      <c r="C69" s="138">
        <v>7</v>
      </c>
      <c r="D69" s="141" t="s">
        <v>316</v>
      </c>
      <c r="E69" s="156" t="s">
        <v>35</v>
      </c>
      <c r="F69" s="156" t="s">
        <v>36</v>
      </c>
      <c r="G69" s="485" t="s">
        <v>325</v>
      </c>
      <c r="H69" s="486" t="s">
        <v>252</v>
      </c>
      <c r="I69" s="487" t="s">
        <v>253</v>
      </c>
      <c r="J69" s="503" t="s">
        <v>254</v>
      </c>
      <c r="K69" s="464"/>
      <c r="L69" s="258"/>
    </row>
    <row r="70" spans="1:12" s="119" customFormat="1" ht="42" customHeight="1" x14ac:dyDescent="0.25">
      <c r="A70" s="258"/>
      <c r="B70" s="464"/>
      <c r="C70" s="111">
        <v>7.1</v>
      </c>
      <c r="D70" s="117" t="s">
        <v>317</v>
      </c>
      <c r="E70" s="116" t="s">
        <v>42</v>
      </c>
      <c r="F70" s="111">
        <v>1</v>
      </c>
      <c r="G70" s="469"/>
      <c r="H70" s="469"/>
      <c r="I70" s="229">
        <f>H70+G70</f>
        <v>0</v>
      </c>
      <c r="J70" s="229">
        <f>I70*F70</f>
        <v>0</v>
      </c>
      <c r="K70" s="464"/>
      <c r="L70" s="258"/>
    </row>
    <row r="71" spans="1:12" s="119" customFormat="1" ht="14.15" customHeight="1" x14ac:dyDescent="0.25">
      <c r="A71" s="258"/>
      <c r="B71" s="464"/>
      <c r="C71" s="111">
        <v>7.2</v>
      </c>
      <c r="D71" s="117" t="s">
        <v>318</v>
      </c>
      <c r="E71" s="116" t="s">
        <v>42</v>
      </c>
      <c r="F71" s="111">
        <v>1</v>
      </c>
      <c r="G71" s="469"/>
      <c r="H71" s="469"/>
      <c r="I71" s="229">
        <f>H71+G71</f>
        <v>0</v>
      </c>
      <c r="J71" s="229">
        <f>I71*F71</f>
        <v>0</v>
      </c>
      <c r="K71" s="464"/>
      <c r="L71" s="258"/>
    </row>
    <row r="72" spans="1:12" s="119" customFormat="1" ht="14.15" customHeight="1" x14ac:dyDescent="0.25">
      <c r="A72" s="258"/>
      <c r="B72" s="464"/>
      <c r="C72" s="111">
        <v>7.3</v>
      </c>
      <c r="D72" s="117" t="s">
        <v>319</v>
      </c>
      <c r="E72" s="116" t="s">
        <v>42</v>
      </c>
      <c r="F72" s="111">
        <v>1</v>
      </c>
      <c r="G72" s="469"/>
      <c r="H72" s="469"/>
      <c r="I72" s="229">
        <f>H72+G72</f>
        <v>0</v>
      </c>
      <c r="J72" s="229">
        <f>I72*F72</f>
        <v>0</v>
      </c>
      <c r="K72" s="464"/>
      <c r="L72" s="258"/>
    </row>
    <row r="73" spans="1:12" s="119" customFormat="1" ht="14.15" customHeight="1" x14ac:dyDescent="0.25">
      <c r="A73" s="258"/>
      <c r="B73" s="464"/>
      <c r="C73" s="111">
        <v>7.4</v>
      </c>
      <c r="D73" s="117" t="s">
        <v>320</v>
      </c>
      <c r="E73" s="116" t="s">
        <v>42</v>
      </c>
      <c r="F73" s="111">
        <v>1</v>
      </c>
      <c r="G73" s="469"/>
      <c r="H73" s="469"/>
      <c r="I73" s="229">
        <f>H73+G73</f>
        <v>0</v>
      </c>
      <c r="J73" s="229">
        <f>I73*F73</f>
        <v>0</v>
      </c>
      <c r="K73" s="464"/>
      <c r="L73" s="258"/>
    </row>
    <row r="74" spans="1:12" s="119" customFormat="1" ht="14.15" customHeight="1" x14ac:dyDescent="0.25">
      <c r="A74" s="258"/>
      <c r="B74" s="464"/>
      <c r="C74" s="138">
        <v>8</v>
      </c>
      <c r="D74" s="141" t="s">
        <v>321</v>
      </c>
      <c r="E74" s="610"/>
      <c r="F74" s="545"/>
      <c r="G74" s="546"/>
      <c r="H74" s="546"/>
      <c r="I74" s="545"/>
      <c r="J74" s="552"/>
      <c r="K74" s="464"/>
      <c r="L74" s="258"/>
    </row>
    <row r="75" spans="1:12" s="119" customFormat="1" ht="28.5" customHeight="1" thickBot="1" x14ac:dyDescent="0.3">
      <c r="A75" s="258"/>
      <c r="B75" s="464"/>
      <c r="C75" s="111">
        <v>8.1</v>
      </c>
      <c r="D75" s="117" t="s">
        <v>450</v>
      </c>
      <c r="E75" s="111" t="s">
        <v>42</v>
      </c>
      <c r="F75" s="111">
        <v>1</v>
      </c>
      <c r="G75" s="469">
        <v>0</v>
      </c>
      <c r="H75" s="469"/>
      <c r="I75" s="229">
        <f>H75+G75</f>
        <v>0</v>
      </c>
      <c r="J75" s="231">
        <f>I75*F75</f>
        <v>0</v>
      </c>
      <c r="K75" s="464"/>
      <c r="L75" s="258"/>
    </row>
    <row r="76" spans="1:12" s="119" customFormat="1" ht="18.75" customHeight="1" thickBot="1" x14ac:dyDescent="0.3">
      <c r="A76" s="258"/>
      <c r="B76" s="464"/>
      <c r="C76" s="111"/>
      <c r="D76" s="230" t="s">
        <v>322</v>
      </c>
      <c r="E76" s="621"/>
      <c r="F76" s="545"/>
      <c r="G76" s="546"/>
      <c r="H76" s="546"/>
      <c r="I76" s="622"/>
      <c r="J76" s="240">
        <f>SUM(J16:J75)</f>
        <v>0</v>
      </c>
      <c r="K76" s="464"/>
      <c r="L76" s="258"/>
    </row>
    <row r="77" spans="1:12" s="162" customFormat="1" ht="37.5" customHeight="1" thickBot="1" x14ac:dyDescent="0.3">
      <c r="A77" s="258"/>
      <c r="B77" s="258"/>
      <c r="C77" s="625" t="s">
        <v>456</v>
      </c>
      <c r="D77" s="626"/>
      <c r="E77" s="626"/>
      <c r="F77" s="626"/>
      <c r="G77" s="626"/>
      <c r="H77" s="626"/>
      <c r="I77" s="626"/>
      <c r="J77" s="627"/>
      <c r="K77" s="258"/>
      <c r="L77" s="258"/>
    </row>
    <row r="78" spans="1:12" ht="27" customHeight="1" x14ac:dyDescent="0.25">
      <c r="A78" s="258"/>
      <c r="B78" s="258"/>
      <c r="C78" s="535" t="s">
        <v>459</v>
      </c>
      <c r="D78" s="536"/>
      <c r="E78" s="536"/>
      <c r="F78" s="536"/>
      <c r="G78" s="536"/>
      <c r="H78" s="536"/>
      <c r="I78" s="536"/>
      <c r="J78" s="537"/>
      <c r="K78" s="258"/>
      <c r="L78" s="258"/>
    </row>
    <row r="79" spans="1:12" s="8" customFormat="1" ht="22.5" customHeight="1" x14ac:dyDescent="0.25">
      <c r="A79" s="258"/>
      <c r="B79" s="492"/>
      <c r="C79" s="538"/>
      <c r="D79" s="539"/>
      <c r="E79" s="539"/>
      <c r="F79" s="539"/>
      <c r="G79" s="539"/>
      <c r="H79" s="539"/>
      <c r="I79" s="539"/>
      <c r="J79" s="540"/>
      <c r="K79" s="286"/>
      <c r="L79" s="258"/>
    </row>
    <row r="80" spans="1:12" s="8" customFormat="1" ht="18.75" customHeight="1" x14ac:dyDescent="0.25">
      <c r="A80" s="258"/>
      <c r="B80" s="492"/>
      <c r="C80" s="538"/>
      <c r="D80" s="539"/>
      <c r="E80" s="539"/>
      <c r="F80" s="539"/>
      <c r="G80" s="539"/>
      <c r="H80" s="539"/>
      <c r="I80" s="539"/>
      <c r="J80" s="540"/>
      <c r="K80" s="286"/>
      <c r="L80" s="258"/>
    </row>
    <row r="81" spans="1:12" s="8" customFormat="1" ht="18.75" customHeight="1" x14ac:dyDescent="0.25">
      <c r="A81" s="258"/>
      <c r="B81" s="492"/>
      <c r="C81" s="538"/>
      <c r="D81" s="539"/>
      <c r="E81" s="539"/>
      <c r="F81" s="539"/>
      <c r="G81" s="539"/>
      <c r="H81" s="539"/>
      <c r="I81" s="539"/>
      <c r="J81" s="540"/>
      <c r="K81" s="286"/>
      <c r="L81" s="258"/>
    </row>
    <row r="82" spans="1:12" s="8" customFormat="1" ht="84" customHeight="1" thickBot="1" x14ac:dyDescent="0.3">
      <c r="A82" s="258"/>
      <c r="B82" s="492"/>
      <c r="C82" s="541"/>
      <c r="D82" s="542"/>
      <c r="E82" s="542"/>
      <c r="F82" s="542"/>
      <c r="G82" s="542"/>
      <c r="H82" s="542"/>
      <c r="I82" s="542"/>
      <c r="J82" s="543"/>
      <c r="K82" s="286"/>
      <c r="L82" s="258"/>
    </row>
    <row r="83" spans="1:12" s="8" customFormat="1" ht="18.75" customHeight="1" x14ac:dyDescent="0.25">
      <c r="A83" s="258"/>
      <c r="B83" s="492"/>
      <c r="C83" s="35"/>
      <c r="D83" s="45"/>
      <c r="E83" s="35"/>
      <c r="F83" s="35"/>
      <c r="G83" s="258"/>
      <c r="H83" s="258"/>
      <c r="I83" s="295"/>
      <c r="J83" s="295"/>
      <c r="K83" s="286"/>
      <c r="L83" s="258"/>
    </row>
    <row r="84" spans="1:12" s="8" customFormat="1" ht="18.75" customHeight="1" x14ac:dyDescent="0.25">
      <c r="A84" s="258"/>
      <c r="B84" s="492"/>
      <c r="C84" s="35"/>
      <c r="D84" s="45"/>
      <c r="E84" s="35"/>
      <c r="F84" s="35"/>
      <c r="G84" s="258"/>
      <c r="H84" s="258"/>
      <c r="I84" s="295"/>
      <c r="J84" s="295"/>
      <c r="K84" s="286"/>
      <c r="L84" s="258"/>
    </row>
    <row r="85" spans="1:12" s="8" customFormat="1" ht="18.75" customHeight="1" x14ac:dyDescent="0.25">
      <c r="A85" s="258"/>
      <c r="B85" s="492"/>
      <c r="C85" s="35"/>
      <c r="D85" s="45"/>
      <c r="E85" s="35"/>
      <c r="F85" s="35"/>
      <c r="G85" s="258"/>
      <c r="H85" s="258"/>
      <c r="I85" s="295"/>
      <c r="J85" s="295"/>
      <c r="K85" s="286"/>
      <c r="L85" s="258"/>
    </row>
    <row r="86" spans="1:12" s="8" customFormat="1" ht="18.75" customHeight="1" x14ac:dyDescent="0.25">
      <c r="A86" s="258"/>
      <c r="B86" s="492"/>
      <c r="C86" s="35"/>
      <c r="D86" s="45"/>
      <c r="E86" s="35"/>
      <c r="F86" s="35"/>
      <c r="G86" s="258"/>
      <c r="H86" s="258"/>
      <c r="I86" s="295"/>
      <c r="J86" s="295"/>
      <c r="K86" s="286"/>
      <c r="L86" s="258"/>
    </row>
    <row r="87" spans="1:12" s="8" customFormat="1" ht="18.75" customHeight="1" x14ac:dyDescent="0.25">
      <c r="A87" s="258"/>
      <c r="B87" s="492"/>
      <c r="C87" s="35"/>
      <c r="D87" s="45"/>
      <c r="E87" s="35"/>
      <c r="F87" s="35"/>
      <c r="G87" s="258"/>
      <c r="H87" s="258"/>
      <c r="I87" s="295"/>
      <c r="J87" s="295"/>
      <c r="K87" s="286"/>
      <c r="L87" s="258"/>
    </row>
  </sheetData>
  <sheetProtection algorithmName="SHA-512" hashValue="1XiypTSuCjwYk5T1mEYZePnlZRM84AzZpn9eMbOqZVJSF8X+RV5gr0/QpvLyyr/5DE7T0n9hNJAZ8eLhf4GUQw==" saltValue="6JVd7baYv5oVGX0QYVrGTA==" spinCount="100000" sheet="1" objects="1" scenarios="1"/>
  <mergeCells count="17">
    <mergeCell ref="E47:J47"/>
    <mergeCell ref="F61:J61"/>
    <mergeCell ref="E10:J10"/>
    <mergeCell ref="C77:J77"/>
    <mergeCell ref="C78:J82"/>
    <mergeCell ref="H1:J5"/>
    <mergeCell ref="E76:I76"/>
    <mergeCell ref="E74:J74"/>
    <mergeCell ref="C8:J8"/>
    <mergeCell ref="E11:J12"/>
    <mergeCell ref="C7:J7"/>
    <mergeCell ref="E50:J51"/>
    <mergeCell ref="E46:J46"/>
    <mergeCell ref="E39:J40"/>
    <mergeCell ref="E18:J18"/>
    <mergeCell ref="E49:J49"/>
    <mergeCell ref="E38:J38"/>
  </mergeCells>
  <printOptions horizontalCentered="1"/>
  <pageMargins left="0" right="0" top="0" bottom="0" header="0.31496062992125978" footer="0.31496062992125978"/>
  <pageSetup paperSize="9" scale="52" fitToHeight="0"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rowBreaks count="1" manualBreakCount="1">
    <brk id="30" min="1" max="1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A1:L83"/>
  <sheetViews>
    <sheetView view="pageBreakPreview" zoomScale="55" zoomScaleNormal="80" zoomScaleSheetLayoutView="55" workbookViewId="0">
      <selection activeCell="N20" sqref="N20"/>
    </sheetView>
  </sheetViews>
  <sheetFormatPr defaultColWidth="8.54296875" defaultRowHeight="12.5" x14ac:dyDescent="0.25"/>
  <cols>
    <col min="2" max="2" width="3.453125" style="162" customWidth="1"/>
    <col min="3" max="3" width="8.1796875" style="35" customWidth="1"/>
    <col min="4" max="4" width="86.81640625" style="45" customWidth="1"/>
    <col min="5" max="5" width="7.54296875" style="35" customWidth="1"/>
    <col min="6" max="6" width="14.453125" style="35" customWidth="1"/>
    <col min="7" max="7" width="17.453125" style="8" customWidth="1"/>
    <col min="8" max="8" width="13.81640625" style="8" customWidth="1"/>
    <col min="9" max="9" width="15.54296875" style="295" customWidth="1"/>
    <col min="10" max="10" width="16.81640625" style="295" bestFit="1" customWidth="1"/>
    <col min="11" max="11" width="3.453125" style="162" customWidth="1"/>
  </cols>
  <sheetData>
    <row r="1" spans="1:12" x14ac:dyDescent="0.25">
      <c r="H1" s="530" t="e" vm="1">
        <v>#VALUE!</v>
      </c>
      <c r="I1" s="530"/>
      <c r="J1" s="530"/>
    </row>
    <row r="2" spans="1:12" x14ac:dyDescent="0.25">
      <c r="H2" s="530"/>
      <c r="I2" s="530"/>
      <c r="J2" s="530"/>
    </row>
    <row r="3" spans="1:12" x14ac:dyDescent="0.25">
      <c r="H3" s="530"/>
      <c r="I3" s="530"/>
      <c r="J3" s="530"/>
    </row>
    <row r="4" spans="1:12" x14ac:dyDescent="0.25">
      <c r="H4" s="530"/>
      <c r="I4" s="530"/>
      <c r="J4" s="530"/>
    </row>
    <row r="5" spans="1:12" x14ac:dyDescent="0.25">
      <c r="A5" s="258"/>
      <c r="B5" s="258"/>
      <c r="G5" s="258"/>
      <c r="H5" s="531"/>
      <c r="I5" s="531"/>
      <c r="J5" s="531"/>
      <c r="K5" s="258"/>
      <c r="L5" s="258"/>
    </row>
    <row r="6" spans="1:12" ht="15.65" customHeight="1" x14ac:dyDescent="0.35">
      <c r="A6" s="258"/>
      <c r="B6" s="258"/>
      <c r="C6" s="551" t="s">
        <v>0</v>
      </c>
      <c r="D6" s="545"/>
      <c r="E6" s="545"/>
      <c r="F6" s="545"/>
      <c r="G6" s="546"/>
      <c r="H6" s="546"/>
      <c r="I6" s="545"/>
      <c r="J6" s="552"/>
      <c r="K6" s="459"/>
      <c r="L6" s="299"/>
    </row>
    <row r="7" spans="1:12" ht="15.65" customHeight="1" x14ac:dyDescent="0.35">
      <c r="A7" s="258"/>
      <c r="B7" s="258"/>
      <c r="C7" s="566" t="s">
        <v>1</v>
      </c>
      <c r="D7" s="545"/>
      <c r="E7" s="545"/>
      <c r="F7" s="545"/>
      <c r="G7" s="546"/>
      <c r="H7" s="546"/>
      <c r="I7" s="545"/>
      <c r="J7" s="552"/>
      <c r="K7" s="459"/>
      <c r="L7" s="299"/>
    </row>
    <row r="8" spans="1:12" ht="16" customHeight="1" thickBot="1" x14ac:dyDescent="0.4">
      <c r="A8" s="258"/>
      <c r="B8" s="258"/>
      <c r="C8" s="615" t="s">
        <v>351</v>
      </c>
      <c r="D8" s="545"/>
      <c r="E8" s="545"/>
      <c r="F8" s="545"/>
      <c r="G8" s="546"/>
      <c r="H8" s="546"/>
      <c r="I8" s="545"/>
      <c r="J8" s="552"/>
      <c r="K8" s="459"/>
      <c r="L8" s="299"/>
    </row>
    <row r="9" spans="1:12" ht="36.75" customHeight="1" thickTop="1" x14ac:dyDescent="0.25">
      <c r="A9" s="258"/>
      <c r="B9" s="258"/>
      <c r="C9" s="186" t="s">
        <v>246</v>
      </c>
      <c r="D9" s="188" t="s">
        <v>4</v>
      </c>
      <c r="E9" s="33" t="s">
        <v>35</v>
      </c>
      <c r="F9" s="33" t="s">
        <v>36</v>
      </c>
      <c r="G9" s="314" t="s">
        <v>325</v>
      </c>
      <c r="H9" s="317" t="s">
        <v>252</v>
      </c>
      <c r="I9" s="480" t="s">
        <v>253</v>
      </c>
      <c r="J9" s="493" t="s">
        <v>254</v>
      </c>
      <c r="K9" s="258"/>
      <c r="L9" s="258"/>
    </row>
    <row r="10" spans="1:12" ht="27.65" customHeight="1" x14ac:dyDescent="0.25">
      <c r="A10" s="258"/>
      <c r="B10" s="258"/>
      <c r="C10" s="138"/>
      <c r="D10" s="114" t="s">
        <v>247</v>
      </c>
      <c r="E10" s="554"/>
      <c r="F10" s="555"/>
      <c r="G10" s="556"/>
      <c r="H10" s="556"/>
      <c r="I10" s="555"/>
      <c r="J10" s="557"/>
      <c r="K10" s="258"/>
      <c r="L10" s="258"/>
    </row>
    <row r="11" spans="1:12" ht="28" customHeight="1" x14ac:dyDescent="0.3">
      <c r="A11" s="258"/>
      <c r="B11" s="258"/>
      <c r="C11" s="113"/>
      <c r="D11" s="110" t="s">
        <v>248</v>
      </c>
      <c r="E11" s="558"/>
      <c r="F11" s="559"/>
      <c r="G11" s="560"/>
      <c r="H11" s="560"/>
      <c r="I11" s="530"/>
      <c r="J11" s="561"/>
      <c r="K11" s="258"/>
      <c r="L11" s="258"/>
    </row>
    <row r="12" spans="1:12" ht="28" customHeight="1" x14ac:dyDescent="0.3">
      <c r="A12" s="258"/>
      <c r="B12" s="258"/>
      <c r="C12" s="113"/>
      <c r="D12" s="110" t="s">
        <v>249</v>
      </c>
      <c r="E12" s="562"/>
      <c r="F12" s="563"/>
      <c r="G12" s="564"/>
      <c r="H12" s="564"/>
      <c r="I12" s="563"/>
      <c r="J12" s="565"/>
      <c r="K12" s="258"/>
      <c r="L12" s="258"/>
    </row>
    <row r="13" spans="1:12" ht="14.5" customHeight="1" thickBot="1" x14ac:dyDescent="0.35">
      <c r="A13" s="258"/>
      <c r="B13" s="258"/>
      <c r="C13" s="113"/>
      <c r="D13" s="112"/>
      <c r="E13" s="232" t="s">
        <v>61</v>
      </c>
      <c r="F13" s="232" t="s">
        <v>62</v>
      </c>
      <c r="G13" s="500" t="s">
        <v>63</v>
      </c>
      <c r="H13" s="500" t="s">
        <v>64</v>
      </c>
      <c r="I13" s="501" t="s">
        <v>65</v>
      </c>
      <c r="J13" s="501" t="s">
        <v>66</v>
      </c>
      <c r="K13" s="258"/>
      <c r="L13" s="258"/>
    </row>
    <row r="14" spans="1:12" s="119" customFormat="1" ht="30.65" customHeight="1" thickTop="1" x14ac:dyDescent="0.25">
      <c r="A14" s="258"/>
      <c r="B14" s="464"/>
      <c r="C14" s="138">
        <v>1</v>
      </c>
      <c r="D14" s="141" t="s">
        <v>250</v>
      </c>
      <c r="E14" s="156" t="s">
        <v>35</v>
      </c>
      <c r="F14" s="156" t="s">
        <v>36</v>
      </c>
      <c r="G14" s="485" t="s">
        <v>325</v>
      </c>
      <c r="H14" s="486" t="s">
        <v>252</v>
      </c>
      <c r="I14" s="487" t="s">
        <v>253</v>
      </c>
      <c r="J14" s="503" t="s">
        <v>254</v>
      </c>
      <c r="K14" s="464"/>
      <c r="L14" s="258"/>
    </row>
    <row r="15" spans="1:12" s="119" customFormat="1" ht="14.15" customHeight="1" x14ac:dyDescent="0.25">
      <c r="A15" s="258"/>
      <c r="B15" s="464"/>
      <c r="C15" s="113"/>
      <c r="D15" s="142"/>
      <c r="E15" s="111"/>
      <c r="F15" s="111"/>
      <c r="G15" s="497"/>
      <c r="H15" s="498"/>
      <c r="I15" s="499"/>
      <c r="J15" s="499"/>
      <c r="K15" s="464"/>
      <c r="L15" s="258"/>
    </row>
    <row r="16" spans="1:12" s="119" customFormat="1" ht="92.15" customHeight="1" x14ac:dyDescent="0.25">
      <c r="A16" s="258"/>
      <c r="B16" s="464"/>
      <c r="C16" s="111">
        <v>1.1000000000000001</v>
      </c>
      <c r="D16" s="118" t="s">
        <v>352</v>
      </c>
      <c r="E16" s="116" t="s">
        <v>42</v>
      </c>
      <c r="F16" s="111">
        <v>1</v>
      </c>
      <c r="G16" s="469"/>
      <c r="H16" s="469"/>
      <c r="I16" s="229">
        <f>H16+G16</f>
        <v>0</v>
      </c>
      <c r="J16" s="229">
        <f>I16*F16</f>
        <v>0</v>
      </c>
      <c r="K16" s="464"/>
      <c r="L16" s="258"/>
    </row>
    <row r="17" spans="1:12" s="119" customFormat="1" ht="100.4" customHeight="1" x14ac:dyDescent="0.25">
      <c r="A17" s="258"/>
      <c r="B17" s="464"/>
      <c r="C17" s="111">
        <v>1.2</v>
      </c>
      <c r="D17" s="118" t="s">
        <v>353</v>
      </c>
      <c r="E17" s="116" t="s">
        <v>42</v>
      </c>
      <c r="F17" s="111">
        <v>1</v>
      </c>
      <c r="G17" s="469"/>
      <c r="H17" s="469"/>
      <c r="I17" s="229">
        <f>H17+G17</f>
        <v>0</v>
      </c>
      <c r="J17" s="229">
        <f>I17*F17</f>
        <v>0</v>
      </c>
      <c r="K17" s="464"/>
      <c r="L17" s="258"/>
    </row>
    <row r="18" spans="1:12" ht="14.5" customHeight="1" thickBot="1" x14ac:dyDescent="0.35">
      <c r="A18" s="258"/>
      <c r="B18" s="258"/>
      <c r="C18" s="113"/>
      <c r="D18" s="112"/>
      <c r="E18" s="232" t="s">
        <v>61</v>
      </c>
      <c r="F18" s="232" t="s">
        <v>62</v>
      </c>
      <c r="G18" s="500" t="s">
        <v>63</v>
      </c>
      <c r="H18" s="500" t="s">
        <v>64</v>
      </c>
      <c r="I18" s="501" t="s">
        <v>65</v>
      </c>
      <c r="J18" s="501" t="s">
        <v>66</v>
      </c>
      <c r="K18" s="258"/>
      <c r="L18" s="258"/>
    </row>
    <row r="19" spans="1:12" ht="65.25" customHeight="1" thickTop="1" x14ac:dyDescent="0.25">
      <c r="A19" s="258"/>
      <c r="B19" s="258"/>
      <c r="C19" s="138">
        <v>2</v>
      </c>
      <c r="D19" s="187" t="s">
        <v>257</v>
      </c>
      <c r="E19" s="156" t="s">
        <v>35</v>
      </c>
      <c r="F19" s="156" t="s">
        <v>36</v>
      </c>
      <c r="G19" s="485" t="s">
        <v>325</v>
      </c>
      <c r="H19" s="486" t="s">
        <v>252</v>
      </c>
      <c r="I19" s="487" t="s">
        <v>253</v>
      </c>
      <c r="J19" s="503" t="s">
        <v>254</v>
      </c>
      <c r="K19" s="258"/>
      <c r="L19" s="258"/>
    </row>
    <row r="20" spans="1:12" s="119" customFormat="1" ht="84.75" customHeight="1" x14ac:dyDescent="0.25">
      <c r="A20" s="258"/>
      <c r="B20" s="464"/>
      <c r="C20" s="113">
        <v>2.1</v>
      </c>
      <c r="D20" s="179" t="s">
        <v>354</v>
      </c>
      <c r="E20" s="111" t="s">
        <v>90</v>
      </c>
      <c r="F20" s="111">
        <v>1</v>
      </c>
      <c r="G20" s="469"/>
      <c r="H20" s="469"/>
      <c r="I20" s="229">
        <f>H20+G20</f>
        <v>0</v>
      </c>
      <c r="J20" s="229">
        <f>I20*F20</f>
        <v>0</v>
      </c>
      <c r="K20" s="464"/>
      <c r="L20" s="258"/>
    </row>
    <row r="21" spans="1:12" s="119" customFormat="1" ht="82.5" customHeight="1" x14ac:dyDescent="0.25">
      <c r="A21" s="258"/>
      <c r="B21" s="464"/>
      <c r="C21" s="113">
        <v>2.2000000000000002</v>
      </c>
      <c r="D21" s="179" t="s">
        <v>355</v>
      </c>
      <c r="E21" s="111" t="s">
        <v>328</v>
      </c>
      <c r="F21" s="111" t="s">
        <v>261</v>
      </c>
      <c r="G21" s="470"/>
      <c r="H21" s="470"/>
      <c r="I21" s="229">
        <f>H21+G21</f>
        <v>0</v>
      </c>
      <c r="J21" s="154"/>
      <c r="K21" s="464"/>
      <c r="L21" s="258"/>
    </row>
    <row r="22" spans="1:12" s="119" customFormat="1" ht="16.5" customHeight="1" thickBot="1" x14ac:dyDescent="0.35">
      <c r="A22" s="258"/>
      <c r="B22" s="464"/>
      <c r="C22" s="113"/>
      <c r="D22" s="139"/>
      <c r="E22" s="232" t="s">
        <v>61</v>
      </c>
      <c r="F22" s="232" t="s">
        <v>62</v>
      </c>
      <c r="G22" s="500" t="s">
        <v>63</v>
      </c>
      <c r="H22" s="500" t="s">
        <v>64</v>
      </c>
      <c r="I22" s="501" t="s">
        <v>65</v>
      </c>
      <c r="J22" s="501" t="s">
        <v>66</v>
      </c>
      <c r="K22" s="464"/>
      <c r="L22" s="258"/>
    </row>
    <row r="23" spans="1:12" s="119" customFormat="1" ht="37" customHeight="1" thickTop="1" x14ac:dyDescent="0.25">
      <c r="A23" s="258"/>
      <c r="B23" s="464"/>
      <c r="C23" s="138">
        <v>3</v>
      </c>
      <c r="D23" s="141" t="s">
        <v>264</v>
      </c>
      <c r="E23" s="156" t="s">
        <v>35</v>
      </c>
      <c r="F23" s="156" t="s">
        <v>36</v>
      </c>
      <c r="G23" s="485" t="s">
        <v>325</v>
      </c>
      <c r="H23" s="486" t="s">
        <v>252</v>
      </c>
      <c r="I23" s="487" t="s">
        <v>253</v>
      </c>
      <c r="J23" s="503" t="s">
        <v>254</v>
      </c>
      <c r="K23" s="464"/>
      <c r="L23" s="258"/>
    </row>
    <row r="24" spans="1:12" s="119" customFormat="1" ht="51.65" customHeight="1" x14ac:dyDescent="0.25">
      <c r="A24" s="258"/>
      <c r="B24" s="464"/>
      <c r="C24" s="113">
        <v>3.1</v>
      </c>
      <c r="D24" s="140" t="s">
        <v>356</v>
      </c>
      <c r="E24" s="111" t="s">
        <v>328</v>
      </c>
      <c r="F24" s="122" t="s">
        <v>266</v>
      </c>
      <c r="G24" s="469"/>
      <c r="H24" s="469"/>
      <c r="I24" s="229">
        <f>H24+G24</f>
        <v>0</v>
      </c>
      <c r="J24" s="154"/>
      <c r="K24" s="464"/>
      <c r="L24" s="258"/>
    </row>
    <row r="25" spans="1:12" s="119" customFormat="1" ht="42.65" customHeight="1" x14ac:dyDescent="0.25">
      <c r="A25" s="258"/>
      <c r="B25" s="464"/>
      <c r="C25" s="113">
        <v>3.2</v>
      </c>
      <c r="D25" s="140" t="s">
        <v>357</v>
      </c>
      <c r="E25" s="111" t="s">
        <v>328</v>
      </c>
      <c r="F25" s="122">
        <v>3</v>
      </c>
      <c r="G25" s="469"/>
      <c r="H25" s="469"/>
      <c r="I25" s="229">
        <f>H25+G25</f>
        <v>0</v>
      </c>
      <c r="J25" s="229">
        <f>I25*F25</f>
        <v>0</v>
      </c>
      <c r="K25" s="464"/>
      <c r="L25" s="258"/>
    </row>
    <row r="26" spans="1:12" s="119" customFormat="1" ht="30.65" customHeight="1" x14ac:dyDescent="0.25">
      <c r="A26" s="258"/>
      <c r="B26" s="464"/>
      <c r="C26" s="113">
        <v>3.3</v>
      </c>
      <c r="D26" s="139" t="s">
        <v>269</v>
      </c>
      <c r="E26" s="122" t="s">
        <v>90</v>
      </c>
      <c r="F26" s="122">
        <v>1</v>
      </c>
      <c r="G26" s="469"/>
      <c r="H26" s="469"/>
      <c r="I26" s="229">
        <f>H26+G26</f>
        <v>0</v>
      </c>
      <c r="J26" s="229">
        <f>I26*F26</f>
        <v>0</v>
      </c>
      <c r="K26" s="464"/>
      <c r="L26" s="258"/>
    </row>
    <row r="27" spans="1:12" s="119" customFormat="1" ht="147" customHeight="1" x14ac:dyDescent="0.25">
      <c r="A27" s="258"/>
      <c r="B27" s="464"/>
      <c r="C27" s="113">
        <v>3.4</v>
      </c>
      <c r="D27" s="178" t="s">
        <v>329</v>
      </c>
      <c r="E27" s="122" t="s">
        <v>90</v>
      </c>
      <c r="F27" s="122">
        <v>1</v>
      </c>
      <c r="G27" s="469"/>
      <c r="H27" s="469"/>
      <c r="I27" s="229">
        <f>H27+G27</f>
        <v>0</v>
      </c>
      <c r="J27" s="229">
        <f>I27*F27</f>
        <v>0</v>
      </c>
      <c r="K27" s="464"/>
      <c r="L27" s="258"/>
    </row>
    <row r="28" spans="1:12" s="119" customFormat="1" ht="16.5" customHeight="1" thickBot="1" x14ac:dyDescent="0.35">
      <c r="A28" s="258"/>
      <c r="B28" s="464"/>
      <c r="C28" s="113"/>
      <c r="D28" s="139"/>
      <c r="E28" s="232" t="s">
        <v>61</v>
      </c>
      <c r="F28" s="232" t="s">
        <v>62</v>
      </c>
      <c r="G28" s="500" t="s">
        <v>63</v>
      </c>
      <c r="H28" s="500" t="s">
        <v>64</v>
      </c>
      <c r="I28" s="501" t="s">
        <v>65</v>
      </c>
      <c r="J28" s="501" t="s">
        <v>66</v>
      </c>
      <c r="K28" s="464"/>
      <c r="L28" s="258"/>
    </row>
    <row r="29" spans="1:12" s="119" customFormat="1" ht="29.15" customHeight="1" thickTop="1" x14ac:dyDescent="0.25">
      <c r="A29" s="258"/>
      <c r="B29" s="464"/>
      <c r="C29" s="138">
        <v>4</v>
      </c>
      <c r="D29" s="141" t="s">
        <v>272</v>
      </c>
      <c r="E29" s="156" t="s">
        <v>35</v>
      </c>
      <c r="F29" s="156" t="s">
        <v>36</v>
      </c>
      <c r="G29" s="485" t="s">
        <v>325</v>
      </c>
      <c r="H29" s="486" t="s">
        <v>252</v>
      </c>
      <c r="I29" s="487" t="s">
        <v>253</v>
      </c>
      <c r="J29" s="503" t="s">
        <v>254</v>
      </c>
      <c r="K29" s="464"/>
      <c r="L29" s="258"/>
    </row>
    <row r="30" spans="1:12" s="119" customFormat="1" ht="42" customHeight="1" x14ac:dyDescent="0.25">
      <c r="A30" s="258"/>
      <c r="B30" s="464"/>
      <c r="C30" s="113">
        <v>4.0999999999999996</v>
      </c>
      <c r="D30" s="139" t="s">
        <v>358</v>
      </c>
      <c r="E30" s="111" t="s">
        <v>90</v>
      </c>
      <c r="F30" s="111">
        <v>1</v>
      </c>
      <c r="G30" s="469"/>
      <c r="H30" s="469"/>
      <c r="I30" s="229">
        <f>H30*G30</f>
        <v>0</v>
      </c>
      <c r="J30" s="229">
        <f>I30*F30</f>
        <v>0</v>
      </c>
      <c r="K30" s="464"/>
      <c r="L30" s="258"/>
    </row>
    <row r="31" spans="1:12" s="119" customFormat="1" ht="49.5" customHeight="1" x14ac:dyDescent="0.25">
      <c r="A31" s="258"/>
      <c r="B31" s="464"/>
      <c r="C31" s="113">
        <v>4.2</v>
      </c>
      <c r="D31" s="139" t="s">
        <v>359</v>
      </c>
      <c r="E31" s="111" t="s">
        <v>90</v>
      </c>
      <c r="F31" s="111" t="s">
        <v>266</v>
      </c>
      <c r="G31" s="469"/>
      <c r="H31" s="469"/>
      <c r="I31" s="229">
        <f>H31*G31</f>
        <v>0</v>
      </c>
      <c r="J31" s="154"/>
      <c r="K31" s="464"/>
      <c r="L31" s="258"/>
    </row>
    <row r="32" spans="1:12" s="119" customFormat="1" ht="35.15" customHeight="1" x14ac:dyDescent="0.25">
      <c r="A32" s="258"/>
      <c r="B32" s="464"/>
      <c r="C32" s="113">
        <v>4.3</v>
      </c>
      <c r="D32" s="140" t="s">
        <v>276</v>
      </c>
      <c r="E32" s="111" t="s">
        <v>42</v>
      </c>
      <c r="F32" s="111">
        <v>1</v>
      </c>
      <c r="G32" s="469"/>
      <c r="H32" s="469"/>
      <c r="I32" s="229">
        <f>H32*G32</f>
        <v>0</v>
      </c>
      <c r="J32" s="229">
        <f>I32*F32</f>
        <v>0</v>
      </c>
      <c r="K32" s="464"/>
      <c r="L32" s="258"/>
    </row>
    <row r="33" spans="1:12" s="119" customFormat="1" ht="14.5" customHeight="1" thickBot="1" x14ac:dyDescent="0.35">
      <c r="A33" s="258"/>
      <c r="B33" s="464"/>
      <c r="C33" s="121"/>
      <c r="D33" s="115"/>
      <c r="E33" s="232" t="s">
        <v>61</v>
      </c>
      <c r="F33" s="232" t="s">
        <v>62</v>
      </c>
      <c r="G33" s="500" t="s">
        <v>63</v>
      </c>
      <c r="H33" s="500" t="s">
        <v>64</v>
      </c>
      <c r="I33" s="501" t="s">
        <v>65</v>
      </c>
      <c r="J33" s="501" t="s">
        <v>66</v>
      </c>
      <c r="K33" s="464"/>
      <c r="L33" s="258"/>
    </row>
    <row r="34" spans="1:12" s="119" customFormat="1" ht="34.5" customHeight="1" thickTop="1" thickBot="1" x14ac:dyDescent="0.3">
      <c r="A34" s="258"/>
      <c r="B34" s="464"/>
      <c r="C34" s="138">
        <v>5</v>
      </c>
      <c r="D34" s="141" t="s">
        <v>277</v>
      </c>
      <c r="E34" s="156" t="s">
        <v>35</v>
      </c>
      <c r="F34" s="156" t="s">
        <v>36</v>
      </c>
      <c r="G34" s="485" t="s">
        <v>325</v>
      </c>
      <c r="H34" s="486" t="s">
        <v>252</v>
      </c>
      <c r="I34" s="487" t="s">
        <v>253</v>
      </c>
      <c r="J34" s="503" t="s">
        <v>254</v>
      </c>
      <c r="K34" s="464"/>
      <c r="L34" s="258"/>
    </row>
    <row r="35" spans="1:12" s="119" customFormat="1" ht="28" customHeight="1" x14ac:dyDescent="0.25">
      <c r="A35" s="258"/>
      <c r="B35" s="464"/>
      <c r="C35" s="113">
        <v>5.0999999999999996</v>
      </c>
      <c r="D35" s="234" t="s">
        <v>278</v>
      </c>
      <c r="E35" s="630"/>
      <c r="F35" s="631"/>
      <c r="G35" s="632"/>
      <c r="H35" s="632"/>
      <c r="I35" s="631"/>
      <c r="J35" s="633"/>
      <c r="K35" s="464"/>
      <c r="L35" s="258"/>
    </row>
    <row r="36" spans="1:12" s="119" customFormat="1" ht="14.15" customHeight="1" x14ac:dyDescent="0.25">
      <c r="A36" s="258"/>
      <c r="B36" s="464"/>
      <c r="C36" s="113">
        <v>5.2</v>
      </c>
      <c r="D36" s="235" t="s">
        <v>279</v>
      </c>
      <c r="E36" s="634"/>
      <c r="F36" s="614"/>
      <c r="G36" s="560"/>
      <c r="H36" s="560"/>
      <c r="I36" s="614"/>
      <c r="J36" s="635"/>
      <c r="K36" s="464"/>
      <c r="L36" s="258"/>
    </row>
    <row r="37" spans="1:12" s="119" customFormat="1" ht="42.65" customHeight="1" thickBot="1" x14ac:dyDescent="0.3">
      <c r="A37" s="258"/>
      <c r="B37" s="464"/>
      <c r="C37" s="113"/>
      <c r="D37" s="236" t="s">
        <v>280</v>
      </c>
      <c r="E37" s="636"/>
      <c r="F37" s="637"/>
      <c r="G37" s="638"/>
      <c r="H37" s="638"/>
      <c r="I37" s="637"/>
      <c r="J37" s="639"/>
      <c r="K37" s="464"/>
      <c r="L37" s="258"/>
    </row>
    <row r="38" spans="1:12" s="119" customFormat="1" ht="14.15" customHeight="1" x14ac:dyDescent="0.25">
      <c r="A38" s="258"/>
      <c r="B38" s="464"/>
      <c r="C38" s="111" t="s">
        <v>281</v>
      </c>
      <c r="D38" s="117" t="s">
        <v>282</v>
      </c>
      <c r="E38" s="116" t="s">
        <v>108</v>
      </c>
      <c r="F38" s="111">
        <f>(20*1)*1.1</f>
        <v>22</v>
      </c>
      <c r="G38" s="469"/>
      <c r="H38" s="469"/>
      <c r="I38" s="229">
        <f>H38+G38</f>
        <v>0</v>
      </c>
      <c r="J38" s="471">
        <f>I38*F38</f>
        <v>0</v>
      </c>
      <c r="K38" s="464"/>
      <c r="L38" s="258"/>
    </row>
    <row r="39" spans="1:12" s="119" customFormat="1" ht="14.15" customHeight="1" x14ac:dyDescent="0.25">
      <c r="A39" s="258"/>
      <c r="B39" s="464"/>
      <c r="C39" s="111" t="s">
        <v>283</v>
      </c>
      <c r="D39" s="117" t="s">
        <v>350</v>
      </c>
      <c r="E39" s="116" t="s">
        <v>108</v>
      </c>
      <c r="F39" s="111">
        <v>1</v>
      </c>
      <c r="G39" s="469"/>
      <c r="H39" s="469"/>
      <c r="I39" s="229">
        <f>H39+G39</f>
        <v>0</v>
      </c>
      <c r="J39" s="154"/>
      <c r="K39" s="464"/>
      <c r="L39" s="258"/>
    </row>
    <row r="40" spans="1:12" s="119" customFormat="1" ht="14.15" customHeight="1" x14ac:dyDescent="0.25">
      <c r="A40" s="258"/>
      <c r="B40" s="464"/>
      <c r="C40" s="111" t="s">
        <v>285</v>
      </c>
      <c r="D40" s="117" t="s">
        <v>286</v>
      </c>
      <c r="E40" s="116" t="s">
        <v>108</v>
      </c>
      <c r="F40" s="111">
        <v>20</v>
      </c>
      <c r="G40" s="469"/>
      <c r="H40" s="469"/>
      <c r="I40" s="229">
        <f>H40+G40</f>
        <v>0</v>
      </c>
      <c r="J40" s="471">
        <f>I40*F40</f>
        <v>0</v>
      </c>
      <c r="K40" s="464"/>
      <c r="L40" s="258"/>
    </row>
    <row r="41" spans="1:12" s="119" customFormat="1" ht="14.5" customHeight="1" thickBot="1" x14ac:dyDescent="0.35">
      <c r="A41" s="258"/>
      <c r="B41" s="464"/>
      <c r="C41" s="121"/>
      <c r="D41" s="115"/>
      <c r="E41" s="232" t="s">
        <v>61</v>
      </c>
      <c r="F41" s="232" t="s">
        <v>62</v>
      </c>
      <c r="G41" s="500" t="s">
        <v>63</v>
      </c>
      <c r="H41" s="500" t="s">
        <v>64</v>
      </c>
      <c r="I41" s="501" t="s">
        <v>65</v>
      </c>
      <c r="J41" s="501" t="s">
        <v>66</v>
      </c>
      <c r="K41" s="464"/>
      <c r="L41" s="258"/>
    </row>
    <row r="42" spans="1:12" s="119" customFormat="1" ht="28.5" customHeight="1" thickTop="1" x14ac:dyDescent="0.25">
      <c r="A42" s="258"/>
      <c r="B42" s="464"/>
      <c r="C42" s="113">
        <v>5.3</v>
      </c>
      <c r="D42" s="141" t="s">
        <v>287</v>
      </c>
      <c r="E42" s="156" t="s">
        <v>35</v>
      </c>
      <c r="F42" s="156" t="s">
        <v>36</v>
      </c>
      <c r="G42" s="485" t="s">
        <v>325</v>
      </c>
      <c r="H42" s="486" t="s">
        <v>252</v>
      </c>
      <c r="I42" s="487" t="s">
        <v>253</v>
      </c>
      <c r="J42" s="503" t="s">
        <v>254</v>
      </c>
      <c r="K42" s="464"/>
      <c r="L42" s="258"/>
    </row>
    <row r="43" spans="1:12" s="119" customFormat="1" ht="14.15" customHeight="1" x14ac:dyDescent="0.25">
      <c r="A43" s="258"/>
      <c r="B43" s="464"/>
      <c r="C43" s="113"/>
      <c r="D43" s="117" t="s">
        <v>288</v>
      </c>
      <c r="E43" s="111"/>
      <c r="F43" s="629"/>
      <c r="G43" s="546"/>
      <c r="H43" s="546"/>
      <c r="I43" s="545"/>
      <c r="J43" s="552"/>
      <c r="K43" s="464"/>
      <c r="L43" s="258"/>
    </row>
    <row r="44" spans="1:12" s="119" customFormat="1" ht="14.15" customHeight="1" x14ac:dyDescent="0.25">
      <c r="A44" s="258"/>
      <c r="B44" s="464"/>
      <c r="C44" s="111" t="s">
        <v>289</v>
      </c>
      <c r="D44" s="117" t="s">
        <v>330</v>
      </c>
      <c r="E44" s="116" t="s">
        <v>108</v>
      </c>
      <c r="F44" s="144">
        <v>30</v>
      </c>
      <c r="G44" s="469"/>
      <c r="H44" s="469"/>
      <c r="I44" s="229">
        <f>H44+G44</f>
        <v>0</v>
      </c>
      <c r="J44" s="229">
        <f>I44*F44</f>
        <v>0</v>
      </c>
      <c r="K44" s="464"/>
      <c r="L44" s="258"/>
    </row>
    <row r="45" spans="1:12" s="119" customFormat="1" ht="14.5" customHeight="1" thickBot="1" x14ac:dyDescent="0.35">
      <c r="A45" s="258"/>
      <c r="B45" s="464"/>
      <c r="C45" s="121"/>
      <c r="D45" s="115"/>
      <c r="E45" s="232" t="s">
        <v>61</v>
      </c>
      <c r="F45" s="232" t="s">
        <v>62</v>
      </c>
      <c r="G45" s="500" t="s">
        <v>63</v>
      </c>
      <c r="H45" s="500" t="s">
        <v>64</v>
      </c>
      <c r="I45" s="501" t="s">
        <v>65</v>
      </c>
      <c r="J45" s="501" t="s">
        <v>66</v>
      </c>
      <c r="K45" s="464"/>
      <c r="L45" s="258"/>
    </row>
    <row r="46" spans="1:12" s="119" customFormat="1" ht="28.5" customHeight="1" thickTop="1" x14ac:dyDescent="0.25">
      <c r="A46" s="258"/>
      <c r="B46" s="464"/>
      <c r="C46" s="113">
        <v>5.4</v>
      </c>
      <c r="D46" s="141" t="s">
        <v>291</v>
      </c>
      <c r="E46" s="156" t="s">
        <v>35</v>
      </c>
      <c r="F46" s="156" t="s">
        <v>36</v>
      </c>
      <c r="G46" s="485" t="s">
        <v>325</v>
      </c>
      <c r="H46" s="486" t="s">
        <v>252</v>
      </c>
      <c r="I46" s="487" t="s">
        <v>253</v>
      </c>
      <c r="J46" s="503" t="s">
        <v>254</v>
      </c>
      <c r="K46" s="464"/>
      <c r="L46" s="258"/>
    </row>
    <row r="47" spans="1:12" s="119" customFormat="1" ht="14.15" customHeight="1" x14ac:dyDescent="0.25">
      <c r="A47" s="258"/>
      <c r="B47" s="464"/>
      <c r="C47" s="113"/>
      <c r="D47" s="117" t="s">
        <v>292</v>
      </c>
      <c r="E47" s="553"/>
      <c r="F47" s="555"/>
      <c r="G47" s="556"/>
      <c r="H47" s="556"/>
      <c r="I47" s="555"/>
      <c r="J47" s="557"/>
      <c r="K47" s="464"/>
      <c r="L47" s="258"/>
    </row>
    <row r="48" spans="1:12" s="119" customFormat="1" ht="28" customHeight="1" x14ac:dyDescent="0.25">
      <c r="A48" s="258"/>
      <c r="B48" s="464"/>
      <c r="C48" s="121"/>
      <c r="D48" s="117" t="s">
        <v>174</v>
      </c>
      <c r="E48" s="562"/>
      <c r="F48" s="563"/>
      <c r="G48" s="564"/>
      <c r="H48" s="564"/>
      <c r="I48" s="563"/>
      <c r="J48" s="565"/>
      <c r="K48" s="464"/>
      <c r="L48" s="258"/>
    </row>
    <row r="49" spans="1:12" s="474" customFormat="1" ht="14.15" customHeight="1" x14ac:dyDescent="0.25">
      <c r="A49" s="258"/>
      <c r="B49" s="475"/>
      <c r="C49" s="111" t="s">
        <v>293</v>
      </c>
      <c r="D49" s="117" t="s">
        <v>282</v>
      </c>
      <c r="E49" s="116" t="s">
        <v>85</v>
      </c>
      <c r="F49" s="111">
        <v>10</v>
      </c>
      <c r="G49" s="469"/>
      <c r="H49" s="469"/>
      <c r="I49" s="229">
        <f>H49+G49</f>
        <v>0</v>
      </c>
      <c r="J49" s="229">
        <f>I49*F49</f>
        <v>0</v>
      </c>
      <c r="K49" s="464"/>
      <c r="L49" s="476"/>
    </row>
    <row r="50" spans="1:12" s="119" customFormat="1" ht="14.15" customHeight="1" x14ac:dyDescent="0.25">
      <c r="A50" s="258"/>
      <c r="B50" s="464"/>
      <c r="C50" s="111" t="s">
        <v>294</v>
      </c>
      <c r="D50" s="117" t="s">
        <v>350</v>
      </c>
      <c r="E50" s="116" t="s">
        <v>108</v>
      </c>
      <c r="F50" s="111">
        <v>1</v>
      </c>
      <c r="G50" s="469"/>
      <c r="H50" s="469"/>
      <c r="I50" s="229">
        <f>H50+G50</f>
        <v>0</v>
      </c>
      <c r="J50" s="154"/>
      <c r="K50" s="464"/>
      <c r="L50" s="258"/>
    </row>
    <row r="51" spans="1:12" s="474" customFormat="1" ht="14.15" customHeight="1" x14ac:dyDescent="0.25">
      <c r="A51" s="258"/>
      <c r="B51" s="475"/>
      <c r="C51" s="111" t="s">
        <v>295</v>
      </c>
      <c r="D51" s="117" t="s">
        <v>177</v>
      </c>
      <c r="E51" s="116" t="s">
        <v>85</v>
      </c>
      <c r="F51" s="111">
        <v>10</v>
      </c>
      <c r="G51" s="469"/>
      <c r="H51" s="469"/>
      <c r="I51" s="229">
        <f>H51+G51</f>
        <v>0</v>
      </c>
      <c r="J51" s="229">
        <f>I51*F51</f>
        <v>0</v>
      </c>
      <c r="K51" s="464"/>
      <c r="L51" s="476"/>
    </row>
    <row r="52" spans="1:12" s="474" customFormat="1" ht="14.15" customHeight="1" x14ac:dyDescent="0.25">
      <c r="A52" s="258"/>
      <c r="B52" s="475"/>
      <c r="C52" s="111" t="s">
        <v>296</v>
      </c>
      <c r="D52" s="117" t="s">
        <v>297</v>
      </c>
      <c r="E52" s="116" t="s">
        <v>85</v>
      </c>
      <c r="F52" s="111">
        <v>10</v>
      </c>
      <c r="G52" s="469"/>
      <c r="H52" s="469"/>
      <c r="I52" s="229">
        <f>H52+G52</f>
        <v>0</v>
      </c>
      <c r="J52" s="229">
        <f>I52*F52</f>
        <v>0</v>
      </c>
      <c r="K52" s="464"/>
      <c r="L52" s="476"/>
    </row>
    <row r="53" spans="1:12" s="119" customFormat="1" ht="14.15" customHeight="1" x14ac:dyDescent="0.25">
      <c r="A53" s="258"/>
      <c r="B53" s="464"/>
      <c r="C53" s="113">
        <v>5.5</v>
      </c>
      <c r="D53" s="141" t="s">
        <v>298</v>
      </c>
      <c r="E53" s="225"/>
      <c r="F53" s="225"/>
      <c r="G53" s="504"/>
      <c r="H53" s="504"/>
      <c r="I53" s="226"/>
      <c r="J53" s="226"/>
      <c r="K53" s="464"/>
      <c r="L53" s="258"/>
    </row>
    <row r="54" spans="1:12" s="119" customFormat="1" ht="28" customHeight="1" x14ac:dyDescent="0.25">
      <c r="A54" s="258"/>
      <c r="B54" s="464"/>
      <c r="C54" s="111" t="s">
        <v>299</v>
      </c>
      <c r="D54" s="117" t="s">
        <v>199</v>
      </c>
      <c r="E54" s="116" t="s">
        <v>108</v>
      </c>
      <c r="F54" s="111">
        <v>30</v>
      </c>
      <c r="G54" s="469"/>
      <c r="H54" s="469"/>
      <c r="I54" s="229">
        <f>H54*G54</f>
        <v>0</v>
      </c>
      <c r="J54" s="229">
        <f>I54*F54</f>
        <v>0</v>
      </c>
      <c r="K54" s="464"/>
      <c r="L54" s="258"/>
    </row>
    <row r="55" spans="1:12" s="119" customFormat="1" ht="28" customHeight="1" x14ac:dyDescent="0.25">
      <c r="A55" s="258"/>
      <c r="B55" s="464"/>
      <c r="C55" s="111" t="s">
        <v>300</v>
      </c>
      <c r="D55" s="117" t="s">
        <v>301</v>
      </c>
      <c r="E55" s="116" t="s">
        <v>42</v>
      </c>
      <c r="F55" s="111">
        <v>1</v>
      </c>
      <c r="G55" s="469"/>
      <c r="H55" s="469"/>
      <c r="I55" s="229">
        <f>H55*G55</f>
        <v>0</v>
      </c>
      <c r="J55" s="229">
        <f>I55*F55</f>
        <v>0</v>
      </c>
      <c r="K55" s="464"/>
      <c r="L55" s="258"/>
    </row>
    <row r="56" spans="1:12" s="119" customFormat="1" ht="14.5" customHeight="1" thickBot="1" x14ac:dyDescent="0.35">
      <c r="A56" s="258"/>
      <c r="B56" s="464"/>
      <c r="C56" s="113"/>
      <c r="D56" s="117"/>
      <c r="E56" s="232" t="s">
        <v>61</v>
      </c>
      <c r="F56" s="232" t="s">
        <v>62</v>
      </c>
      <c r="G56" s="500" t="s">
        <v>63</v>
      </c>
      <c r="H56" s="500" t="s">
        <v>64</v>
      </c>
      <c r="I56" s="501" t="s">
        <v>65</v>
      </c>
      <c r="J56" s="501" t="s">
        <v>66</v>
      </c>
      <c r="K56" s="464"/>
      <c r="L56" s="258"/>
    </row>
    <row r="57" spans="1:12" s="119" customFormat="1" ht="28.5" customHeight="1" thickTop="1" x14ac:dyDescent="0.25">
      <c r="A57" s="258"/>
      <c r="B57" s="464"/>
      <c r="C57" s="113">
        <v>5.6</v>
      </c>
      <c r="D57" s="141" t="s">
        <v>302</v>
      </c>
      <c r="E57" s="156" t="s">
        <v>35</v>
      </c>
      <c r="F57" s="156" t="s">
        <v>36</v>
      </c>
      <c r="G57" s="485" t="s">
        <v>325</v>
      </c>
      <c r="H57" s="486" t="s">
        <v>252</v>
      </c>
      <c r="I57" s="487" t="s">
        <v>253</v>
      </c>
      <c r="J57" s="503" t="s">
        <v>254</v>
      </c>
      <c r="K57" s="464"/>
      <c r="L57" s="258"/>
    </row>
    <row r="58" spans="1:12" s="119" customFormat="1" ht="14.15" customHeight="1" x14ac:dyDescent="0.25">
      <c r="A58" s="258"/>
      <c r="B58" s="464"/>
      <c r="C58" s="113"/>
      <c r="D58" s="142"/>
      <c r="E58" s="553"/>
      <c r="F58" s="555"/>
      <c r="G58" s="556"/>
      <c r="H58" s="556"/>
      <c r="I58" s="555"/>
      <c r="J58" s="557"/>
      <c r="K58" s="464"/>
      <c r="L58" s="258"/>
    </row>
    <row r="59" spans="1:12" s="119" customFormat="1" ht="14.15" customHeight="1" x14ac:dyDescent="0.25">
      <c r="A59" s="258"/>
      <c r="B59" s="464"/>
      <c r="C59" s="113"/>
      <c r="D59" s="117" t="s">
        <v>303</v>
      </c>
      <c r="E59" s="562"/>
      <c r="F59" s="563"/>
      <c r="G59" s="564"/>
      <c r="H59" s="564"/>
      <c r="I59" s="563"/>
      <c r="J59" s="565"/>
      <c r="K59" s="464"/>
      <c r="L59" s="258"/>
    </row>
    <row r="60" spans="1:12" s="119" customFormat="1" ht="14.15" customHeight="1" x14ac:dyDescent="0.25">
      <c r="A60" s="258"/>
      <c r="B60" s="464"/>
      <c r="C60" s="111" t="s">
        <v>304</v>
      </c>
      <c r="D60" s="117" t="s">
        <v>305</v>
      </c>
      <c r="E60" s="116" t="s">
        <v>108</v>
      </c>
      <c r="F60" s="111">
        <v>20</v>
      </c>
      <c r="G60" s="469"/>
      <c r="H60" s="469"/>
      <c r="I60" s="229">
        <f t="shared" ref="I60:I65" si="0">H60+G60</f>
        <v>0</v>
      </c>
      <c r="J60" s="229">
        <f t="shared" ref="J60:J65" si="1">I60*F60</f>
        <v>0</v>
      </c>
      <c r="K60" s="464"/>
      <c r="L60" s="258"/>
    </row>
    <row r="61" spans="1:12" s="119" customFormat="1" ht="14.15" customHeight="1" x14ac:dyDescent="0.25">
      <c r="A61" s="258"/>
      <c r="B61" s="464"/>
      <c r="C61" s="111" t="s">
        <v>306</v>
      </c>
      <c r="D61" s="117" t="s">
        <v>307</v>
      </c>
      <c r="E61" s="116" t="s">
        <v>108</v>
      </c>
      <c r="F61" s="111">
        <v>20</v>
      </c>
      <c r="G61" s="469"/>
      <c r="H61" s="469"/>
      <c r="I61" s="229">
        <f t="shared" si="0"/>
        <v>0</v>
      </c>
      <c r="J61" s="229">
        <f t="shared" si="1"/>
        <v>0</v>
      </c>
      <c r="K61" s="464"/>
      <c r="L61" s="258"/>
    </row>
    <row r="62" spans="1:12" s="119" customFormat="1" ht="14.15" customHeight="1" x14ac:dyDescent="0.25">
      <c r="A62" s="258"/>
      <c r="B62" s="464"/>
      <c r="C62" s="111" t="s">
        <v>308</v>
      </c>
      <c r="D62" s="117" t="s">
        <v>309</v>
      </c>
      <c r="E62" s="116" t="s">
        <v>108</v>
      </c>
      <c r="F62" s="111">
        <v>20</v>
      </c>
      <c r="G62" s="469"/>
      <c r="H62" s="469"/>
      <c r="I62" s="229">
        <f t="shared" si="0"/>
        <v>0</v>
      </c>
      <c r="J62" s="229">
        <f t="shared" si="1"/>
        <v>0</v>
      </c>
      <c r="K62" s="464"/>
      <c r="L62" s="258"/>
    </row>
    <row r="63" spans="1:12" s="119" customFormat="1" ht="28" customHeight="1" x14ac:dyDescent="0.25">
      <c r="A63" s="258"/>
      <c r="B63" s="464"/>
      <c r="C63" s="111" t="s">
        <v>310</v>
      </c>
      <c r="D63" s="118" t="s">
        <v>311</v>
      </c>
      <c r="E63" s="116" t="s">
        <v>108</v>
      </c>
      <c r="F63" s="111">
        <v>20</v>
      </c>
      <c r="G63" s="469"/>
      <c r="H63" s="469"/>
      <c r="I63" s="229">
        <f t="shared" si="0"/>
        <v>0</v>
      </c>
      <c r="J63" s="229">
        <f t="shared" si="1"/>
        <v>0</v>
      </c>
      <c r="K63" s="464"/>
      <c r="L63" s="258"/>
    </row>
    <row r="64" spans="1:12" s="119" customFormat="1" ht="14.15" customHeight="1" x14ac:dyDescent="0.25">
      <c r="A64" s="258"/>
      <c r="B64" s="464"/>
      <c r="C64" s="111" t="s">
        <v>312</v>
      </c>
      <c r="D64" s="118" t="s">
        <v>313</v>
      </c>
      <c r="E64" s="116" t="s">
        <v>108</v>
      </c>
      <c r="F64" s="111">
        <v>20</v>
      </c>
      <c r="G64" s="469"/>
      <c r="H64" s="469"/>
      <c r="I64" s="229">
        <f t="shared" si="0"/>
        <v>0</v>
      </c>
      <c r="J64" s="229">
        <f t="shared" si="1"/>
        <v>0</v>
      </c>
      <c r="K64" s="464"/>
      <c r="L64" s="258"/>
    </row>
    <row r="65" spans="1:12" s="119" customFormat="1" ht="14.15" customHeight="1" x14ac:dyDescent="0.25">
      <c r="A65" s="258"/>
      <c r="B65" s="464"/>
      <c r="C65" s="111" t="s">
        <v>314</v>
      </c>
      <c r="D65" s="117" t="s">
        <v>315</v>
      </c>
      <c r="E65" s="116" t="s">
        <v>108</v>
      </c>
      <c r="F65" s="111">
        <v>20</v>
      </c>
      <c r="G65" s="469"/>
      <c r="H65" s="469"/>
      <c r="I65" s="229">
        <f t="shared" si="0"/>
        <v>0</v>
      </c>
      <c r="J65" s="229">
        <f t="shared" si="1"/>
        <v>0</v>
      </c>
      <c r="K65" s="464"/>
      <c r="L65" s="258"/>
    </row>
    <row r="66" spans="1:12" s="119" customFormat="1" ht="14.5" customHeight="1" thickBot="1" x14ac:dyDescent="0.35">
      <c r="A66" s="258"/>
      <c r="B66" s="464"/>
      <c r="C66" s="113"/>
      <c r="D66" s="117"/>
      <c r="E66" s="232" t="s">
        <v>61</v>
      </c>
      <c r="F66" s="232" t="s">
        <v>62</v>
      </c>
      <c r="G66" s="500" t="s">
        <v>63</v>
      </c>
      <c r="H66" s="500" t="s">
        <v>64</v>
      </c>
      <c r="I66" s="501" t="s">
        <v>65</v>
      </c>
      <c r="J66" s="501" t="s">
        <v>66</v>
      </c>
      <c r="K66" s="464"/>
      <c r="L66" s="258"/>
    </row>
    <row r="67" spans="1:12" s="119" customFormat="1" ht="35.15" customHeight="1" thickTop="1" x14ac:dyDescent="0.25">
      <c r="A67" s="258"/>
      <c r="B67" s="464"/>
      <c r="C67" s="138">
        <v>6</v>
      </c>
      <c r="D67" s="141" t="s">
        <v>316</v>
      </c>
      <c r="E67" s="156" t="s">
        <v>35</v>
      </c>
      <c r="F67" s="156" t="s">
        <v>36</v>
      </c>
      <c r="G67" s="485" t="s">
        <v>325</v>
      </c>
      <c r="H67" s="486" t="s">
        <v>252</v>
      </c>
      <c r="I67" s="487" t="s">
        <v>253</v>
      </c>
      <c r="J67" s="503" t="s">
        <v>254</v>
      </c>
      <c r="K67" s="464"/>
      <c r="L67" s="258"/>
    </row>
    <row r="68" spans="1:12" s="119" customFormat="1" ht="47.15" customHeight="1" x14ac:dyDescent="0.25">
      <c r="A68" s="258"/>
      <c r="B68" s="464"/>
      <c r="C68" s="111">
        <v>6.1</v>
      </c>
      <c r="D68" s="117" t="s">
        <v>317</v>
      </c>
      <c r="E68" s="116" t="s">
        <v>42</v>
      </c>
      <c r="F68" s="111">
        <v>1</v>
      </c>
      <c r="G68" s="469"/>
      <c r="H68" s="469"/>
      <c r="I68" s="229">
        <f>H68+G68</f>
        <v>0</v>
      </c>
      <c r="J68" s="229">
        <f>I68*F68</f>
        <v>0</v>
      </c>
      <c r="K68" s="464"/>
      <c r="L68" s="258"/>
    </row>
    <row r="69" spans="1:12" s="119" customFormat="1" ht="26.15" customHeight="1" x14ac:dyDescent="0.25">
      <c r="A69" s="258"/>
      <c r="B69" s="464"/>
      <c r="C69" s="111">
        <v>6.2</v>
      </c>
      <c r="D69" s="117" t="s">
        <v>318</v>
      </c>
      <c r="E69" s="116" t="s">
        <v>42</v>
      </c>
      <c r="F69" s="111">
        <v>1</v>
      </c>
      <c r="G69" s="469"/>
      <c r="H69" s="469"/>
      <c r="I69" s="229">
        <f>H69+G69</f>
        <v>0</v>
      </c>
      <c r="J69" s="229">
        <f>I69*F69</f>
        <v>0</v>
      </c>
      <c r="K69" s="464"/>
      <c r="L69" s="258"/>
    </row>
    <row r="70" spans="1:12" s="119" customFormat="1" ht="26.15" customHeight="1" x14ac:dyDescent="0.25">
      <c r="A70" s="258"/>
      <c r="B70" s="464"/>
      <c r="C70" s="111">
        <v>6.3</v>
      </c>
      <c r="D70" s="117" t="s">
        <v>319</v>
      </c>
      <c r="E70" s="116" t="s">
        <v>42</v>
      </c>
      <c r="F70" s="111">
        <v>1</v>
      </c>
      <c r="G70" s="469"/>
      <c r="H70" s="469"/>
      <c r="I70" s="229">
        <f>H70+G70</f>
        <v>0</v>
      </c>
      <c r="J70" s="229">
        <f>I70*F70</f>
        <v>0</v>
      </c>
      <c r="K70" s="464"/>
      <c r="L70" s="258"/>
    </row>
    <row r="71" spans="1:12" s="119" customFormat="1" ht="26.15" customHeight="1" thickBot="1" x14ac:dyDescent="0.3">
      <c r="A71" s="258"/>
      <c r="B71" s="464"/>
      <c r="C71" s="111">
        <v>6.4</v>
      </c>
      <c r="D71" s="117" t="s">
        <v>451</v>
      </c>
      <c r="E71" s="116" t="s">
        <v>42</v>
      </c>
      <c r="F71" s="111">
        <v>1</v>
      </c>
      <c r="G71" s="469"/>
      <c r="H71" s="469"/>
      <c r="I71" s="229">
        <f>H71+G71</f>
        <v>0</v>
      </c>
      <c r="J71" s="229">
        <f>I71*F71</f>
        <v>0</v>
      </c>
      <c r="K71" s="464"/>
      <c r="L71" s="258"/>
    </row>
    <row r="72" spans="1:12" s="119" customFormat="1" ht="18.75" customHeight="1" thickBot="1" x14ac:dyDescent="0.3">
      <c r="A72" s="258"/>
      <c r="B72" s="464"/>
      <c r="C72" s="111"/>
      <c r="D72" s="230" t="s">
        <v>360</v>
      </c>
      <c r="E72" s="544"/>
      <c r="F72" s="545"/>
      <c r="G72" s="546"/>
      <c r="H72" s="546"/>
      <c r="I72" s="545"/>
      <c r="J72" s="240">
        <f>SUM(J16:J71)</f>
        <v>0</v>
      </c>
      <c r="K72" s="464"/>
      <c r="L72" s="258"/>
    </row>
    <row r="73" spans="1:12" s="162" customFormat="1" ht="41.25" customHeight="1" thickBot="1" x14ac:dyDescent="0.3">
      <c r="A73" s="258"/>
      <c r="B73" s="258"/>
      <c r="C73" s="625" t="s">
        <v>456</v>
      </c>
      <c r="D73" s="626"/>
      <c r="E73" s="626"/>
      <c r="F73" s="626"/>
      <c r="G73" s="626"/>
      <c r="H73" s="626"/>
      <c r="I73" s="626"/>
      <c r="J73" s="627"/>
      <c r="K73" s="258"/>
      <c r="L73" s="258"/>
    </row>
    <row r="74" spans="1:12" ht="18.75" customHeight="1" x14ac:dyDescent="0.25">
      <c r="A74" s="258"/>
      <c r="B74" s="258"/>
      <c r="C74" s="535" t="s">
        <v>459</v>
      </c>
      <c r="D74" s="536"/>
      <c r="E74" s="536"/>
      <c r="F74" s="536"/>
      <c r="G74" s="536"/>
      <c r="H74" s="536"/>
      <c r="I74" s="536"/>
      <c r="J74" s="537"/>
      <c r="K74" s="258"/>
      <c r="L74" s="258"/>
    </row>
    <row r="75" spans="1:12" s="8" customFormat="1" ht="18.75" customHeight="1" x14ac:dyDescent="0.25">
      <c r="A75" s="258"/>
      <c r="B75" s="492"/>
      <c r="C75" s="538"/>
      <c r="D75" s="539"/>
      <c r="E75" s="539"/>
      <c r="F75" s="539"/>
      <c r="G75" s="539"/>
      <c r="H75" s="539"/>
      <c r="I75" s="539"/>
      <c r="J75" s="540"/>
      <c r="K75" s="286"/>
      <c r="L75" s="258"/>
    </row>
    <row r="76" spans="1:12" s="8" customFormat="1" ht="18.75" customHeight="1" x14ac:dyDescent="0.25">
      <c r="A76" s="258"/>
      <c r="B76" s="492"/>
      <c r="C76" s="538"/>
      <c r="D76" s="539"/>
      <c r="E76" s="539"/>
      <c r="F76" s="539"/>
      <c r="G76" s="539"/>
      <c r="H76" s="539"/>
      <c r="I76" s="539"/>
      <c r="J76" s="540"/>
      <c r="K76" s="286"/>
      <c r="L76" s="258"/>
    </row>
    <row r="77" spans="1:12" s="8" customFormat="1" ht="18.75" customHeight="1" x14ac:dyDescent="0.25">
      <c r="A77" s="258"/>
      <c r="B77" s="492"/>
      <c r="C77" s="538"/>
      <c r="D77" s="539"/>
      <c r="E77" s="539"/>
      <c r="F77" s="539"/>
      <c r="G77" s="539"/>
      <c r="H77" s="539"/>
      <c r="I77" s="539"/>
      <c r="J77" s="540"/>
      <c r="K77" s="286"/>
      <c r="L77" s="258"/>
    </row>
    <row r="78" spans="1:12" s="8" customFormat="1" ht="92.25" customHeight="1" thickBot="1" x14ac:dyDescent="0.3">
      <c r="A78" s="258"/>
      <c r="B78" s="492"/>
      <c r="C78" s="541"/>
      <c r="D78" s="542"/>
      <c r="E78" s="542"/>
      <c r="F78" s="542"/>
      <c r="G78" s="542"/>
      <c r="H78" s="542"/>
      <c r="I78" s="542"/>
      <c r="J78" s="543"/>
      <c r="K78" s="286"/>
      <c r="L78" s="258"/>
    </row>
    <row r="79" spans="1:12" s="8" customFormat="1" ht="18.75" customHeight="1" x14ac:dyDescent="0.25">
      <c r="A79" s="258"/>
      <c r="B79" s="492"/>
      <c r="C79" s="35"/>
      <c r="D79" s="45"/>
      <c r="E79" s="35"/>
      <c r="F79" s="35"/>
      <c r="G79" s="258"/>
      <c r="H79" s="258"/>
      <c r="I79" s="295"/>
      <c r="J79" s="295"/>
      <c r="K79" s="286"/>
      <c r="L79" s="258"/>
    </row>
    <row r="80" spans="1:12" s="8" customFormat="1" ht="18.75" customHeight="1" x14ac:dyDescent="0.25">
      <c r="A80" s="258"/>
      <c r="B80" s="492"/>
      <c r="C80" s="35"/>
      <c r="D80" s="45"/>
      <c r="E80" s="35"/>
      <c r="F80" s="35"/>
      <c r="G80" s="258"/>
      <c r="H80" s="258"/>
      <c r="I80" s="295"/>
      <c r="J80" s="295"/>
      <c r="K80" s="286"/>
      <c r="L80" s="258"/>
    </row>
    <row r="81" spans="1:12" s="8" customFormat="1" ht="18.75" customHeight="1" x14ac:dyDescent="0.25">
      <c r="A81" s="258"/>
      <c r="B81" s="492"/>
      <c r="C81" s="35"/>
      <c r="D81" s="45"/>
      <c r="E81" s="35"/>
      <c r="F81" s="35"/>
      <c r="G81" s="258"/>
      <c r="H81" s="258"/>
      <c r="I81" s="295"/>
      <c r="J81" s="295"/>
      <c r="K81" s="286"/>
      <c r="L81" s="258"/>
    </row>
    <row r="82" spans="1:12" s="8" customFormat="1" ht="18.75" customHeight="1" x14ac:dyDescent="0.25">
      <c r="A82" s="258"/>
      <c r="B82" s="492"/>
      <c r="C82" s="35"/>
      <c r="D82" s="45"/>
      <c r="E82" s="35"/>
      <c r="F82" s="35"/>
      <c r="G82" s="258"/>
      <c r="H82" s="258"/>
      <c r="I82" s="295"/>
      <c r="J82" s="295"/>
      <c r="K82" s="286"/>
      <c r="L82" s="258"/>
    </row>
    <row r="83" spans="1:12" s="8" customFormat="1" ht="18.75" customHeight="1" x14ac:dyDescent="0.25">
      <c r="A83" s="258"/>
      <c r="B83" s="492"/>
      <c r="C83" s="35"/>
      <c r="D83" s="45"/>
      <c r="E83" s="35"/>
      <c r="F83" s="35"/>
      <c r="G83" s="258"/>
      <c r="H83" s="258"/>
      <c r="I83" s="295"/>
      <c r="J83" s="295"/>
      <c r="K83" s="286"/>
      <c r="L83" s="258"/>
    </row>
  </sheetData>
  <sheetProtection algorithmName="SHA-512" hashValue="e/2P6Z8+e1grbUBguYWDeC2vizUxqOpiOG8/BJqUTxuA6R5qHvStcLZ3FO9sfClS28y7AcVi9rnXdTl733g5YA==" saltValue="VVyDsjiVmAisCg+GW7jvJw==" spinCount="100000" sheet="1" objects="1" scenarios="1"/>
  <mergeCells count="12">
    <mergeCell ref="C73:J73"/>
    <mergeCell ref="C74:J78"/>
    <mergeCell ref="H1:J5"/>
    <mergeCell ref="E58:J59"/>
    <mergeCell ref="E10:J12"/>
    <mergeCell ref="C6:J6"/>
    <mergeCell ref="E72:I72"/>
    <mergeCell ref="C8:J8"/>
    <mergeCell ref="C7:J7"/>
    <mergeCell ref="F43:J43"/>
    <mergeCell ref="E35:J37"/>
    <mergeCell ref="E47:J48"/>
  </mergeCells>
  <printOptions horizontalCentered="1"/>
  <pageMargins left="0.25" right="0.25" top="0.75" bottom="0.75" header="0.3" footer="0.3"/>
  <pageSetup paperSize="9" scale="43" fitToHeight="0"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rowBreaks count="1" manualBreakCount="1">
    <brk id="32" min="1" max="1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L78"/>
  <sheetViews>
    <sheetView view="pageBreakPreview" topLeftCell="A19" zoomScale="55" zoomScaleNormal="90" zoomScaleSheetLayoutView="55" workbookViewId="0">
      <selection activeCell="N25" sqref="N25"/>
    </sheetView>
  </sheetViews>
  <sheetFormatPr defaultColWidth="8.54296875" defaultRowHeight="12.5" x14ac:dyDescent="0.25"/>
  <cols>
    <col min="2" max="2" width="2.81640625" style="162" customWidth="1"/>
    <col min="3" max="3" width="10" style="35" customWidth="1"/>
    <col min="4" max="4" width="81.453125" style="45" customWidth="1"/>
    <col min="5" max="5" width="7.54296875" style="35" customWidth="1"/>
    <col min="6" max="6" width="14.453125" style="35" customWidth="1"/>
    <col min="7" max="7" width="17.453125" style="8" customWidth="1"/>
    <col min="8" max="8" width="13.81640625" style="8" customWidth="1"/>
    <col min="9" max="9" width="15.54296875" style="295" customWidth="1"/>
    <col min="10" max="10" width="16.81640625" style="295" bestFit="1" customWidth="1"/>
    <col min="11" max="11" width="3" style="162" customWidth="1"/>
  </cols>
  <sheetData>
    <row r="1" spans="1:12" x14ac:dyDescent="0.25">
      <c r="H1" s="530" t="e" vm="1">
        <v>#VALUE!</v>
      </c>
      <c r="I1" s="530"/>
      <c r="J1" s="530"/>
    </row>
    <row r="2" spans="1:12" x14ac:dyDescent="0.25">
      <c r="H2" s="530"/>
      <c r="I2" s="530"/>
      <c r="J2" s="530"/>
    </row>
    <row r="3" spans="1:12" x14ac:dyDescent="0.25">
      <c r="H3" s="530"/>
      <c r="I3" s="530"/>
      <c r="J3" s="530"/>
    </row>
    <row r="4" spans="1:12" x14ac:dyDescent="0.25">
      <c r="H4" s="530"/>
      <c r="I4" s="530"/>
      <c r="J4" s="530"/>
    </row>
    <row r="5" spans="1:12" ht="15.65" customHeight="1" x14ac:dyDescent="0.35">
      <c r="A5" s="258"/>
      <c r="B5" s="258"/>
      <c r="C5" s="640" t="s">
        <v>0</v>
      </c>
      <c r="D5" s="563"/>
      <c r="E5" s="563"/>
      <c r="F5" s="563"/>
      <c r="G5" s="564"/>
      <c r="H5" s="564"/>
      <c r="I5" s="563"/>
      <c r="J5" s="563"/>
      <c r="K5" s="459"/>
      <c r="L5" s="299"/>
    </row>
    <row r="6" spans="1:12" ht="15.65" customHeight="1" x14ac:dyDescent="0.35">
      <c r="A6" s="258"/>
      <c r="B6" s="258"/>
      <c r="C6" s="566" t="str">
        <f>'SECTION 1-P&amp;G'!C8</f>
        <v>ACSA KSIA POWER FACTOR CORRECTION UPGRADE</v>
      </c>
      <c r="D6" s="545"/>
      <c r="E6" s="545"/>
      <c r="F6" s="545"/>
      <c r="G6" s="546"/>
      <c r="H6" s="546"/>
      <c r="I6" s="545"/>
      <c r="J6" s="552"/>
      <c r="K6" s="459"/>
      <c r="L6" s="299"/>
    </row>
    <row r="7" spans="1:12" ht="16" customHeight="1" thickBot="1" x14ac:dyDescent="0.4">
      <c r="A7" s="258"/>
      <c r="B7" s="258"/>
      <c r="C7" s="615" t="s">
        <v>361</v>
      </c>
      <c r="D7" s="545"/>
      <c r="E7" s="545"/>
      <c r="F7" s="545"/>
      <c r="G7" s="546"/>
      <c r="H7" s="546"/>
      <c r="I7" s="545"/>
      <c r="J7" s="552"/>
      <c r="K7" s="459"/>
      <c r="L7" s="299"/>
    </row>
    <row r="8" spans="1:12" ht="45.75" customHeight="1" thickTop="1" x14ac:dyDescent="0.25">
      <c r="A8" s="258"/>
      <c r="B8" s="258"/>
      <c r="C8" s="196" t="s">
        <v>246</v>
      </c>
      <c r="D8" s="188" t="s">
        <v>4</v>
      </c>
      <c r="E8" s="33" t="s">
        <v>35</v>
      </c>
      <c r="F8" s="33" t="s">
        <v>36</v>
      </c>
      <c r="G8" s="314" t="s">
        <v>325</v>
      </c>
      <c r="H8" s="317" t="s">
        <v>252</v>
      </c>
      <c r="I8" s="480" t="s">
        <v>253</v>
      </c>
      <c r="J8" s="493" t="s">
        <v>254</v>
      </c>
      <c r="K8" s="258"/>
      <c r="L8" s="258"/>
    </row>
    <row r="9" spans="1:12" ht="27.65" customHeight="1" x14ac:dyDescent="0.25">
      <c r="A9" s="258"/>
      <c r="B9" s="258"/>
      <c r="C9" s="156"/>
      <c r="D9" s="114" t="s">
        <v>247</v>
      </c>
      <c r="E9" s="554"/>
      <c r="F9" s="555"/>
      <c r="G9" s="556"/>
      <c r="H9" s="556"/>
      <c r="I9" s="555"/>
      <c r="J9" s="557"/>
      <c r="K9" s="258"/>
      <c r="L9" s="258"/>
    </row>
    <row r="10" spans="1:12" ht="28" customHeight="1" x14ac:dyDescent="0.3">
      <c r="A10" s="258"/>
      <c r="B10" s="258"/>
      <c r="C10" s="113"/>
      <c r="D10" s="110" t="s">
        <v>248</v>
      </c>
      <c r="E10" s="558"/>
      <c r="F10" s="559"/>
      <c r="G10" s="560"/>
      <c r="H10" s="560"/>
      <c r="I10" s="530"/>
      <c r="J10" s="561"/>
      <c r="K10" s="258"/>
      <c r="L10" s="258"/>
    </row>
    <row r="11" spans="1:12" ht="28" customHeight="1" x14ac:dyDescent="0.3">
      <c r="A11" s="258"/>
      <c r="B11" s="258"/>
      <c r="C11" s="113"/>
      <c r="D11" s="110" t="s">
        <v>249</v>
      </c>
      <c r="E11" s="562"/>
      <c r="F11" s="563"/>
      <c r="G11" s="564"/>
      <c r="H11" s="564"/>
      <c r="I11" s="563"/>
      <c r="J11" s="565"/>
      <c r="K11" s="258"/>
      <c r="L11" s="258"/>
    </row>
    <row r="12" spans="1:12" ht="14.5" customHeight="1" thickBot="1" x14ac:dyDescent="0.35">
      <c r="A12" s="258"/>
      <c r="B12" s="258"/>
      <c r="C12" s="113"/>
      <c r="D12" s="112"/>
      <c r="E12" s="237" t="s">
        <v>61</v>
      </c>
      <c r="F12" s="238" t="s">
        <v>62</v>
      </c>
      <c r="G12" s="500" t="s">
        <v>63</v>
      </c>
      <c r="H12" s="500" t="s">
        <v>64</v>
      </c>
      <c r="I12" s="501" t="s">
        <v>65</v>
      </c>
      <c r="J12" s="502" t="s">
        <v>66</v>
      </c>
      <c r="K12" s="258"/>
      <c r="L12" s="258"/>
    </row>
    <row r="13" spans="1:12" s="119" customFormat="1" ht="32.5" customHeight="1" thickTop="1" x14ac:dyDescent="0.25">
      <c r="A13" s="258"/>
      <c r="B13" s="464"/>
      <c r="C13" s="138">
        <v>1</v>
      </c>
      <c r="D13" s="141" t="s">
        <v>250</v>
      </c>
      <c r="E13" s="156" t="s">
        <v>35</v>
      </c>
      <c r="F13" s="156" t="s">
        <v>36</v>
      </c>
      <c r="G13" s="485" t="s">
        <v>325</v>
      </c>
      <c r="H13" s="486" t="s">
        <v>252</v>
      </c>
      <c r="I13" s="487" t="s">
        <v>253</v>
      </c>
      <c r="J13" s="503" t="s">
        <v>254</v>
      </c>
      <c r="K13" s="464"/>
      <c r="L13" s="258"/>
    </row>
    <row r="14" spans="1:12" s="119" customFormat="1" ht="92.15" customHeight="1" x14ac:dyDescent="0.25">
      <c r="A14" s="258"/>
      <c r="B14" s="464"/>
      <c r="C14" s="111">
        <v>1.2</v>
      </c>
      <c r="D14" s="118" t="s">
        <v>362</v>
      </c>
      <c r="E14" s="116" t="s">
        <v>42</v>
      </c>
      <c r="F14" s="111">
        <v>1</v>
      </c>
      <c r="G14" s="469"/>
      <c r="H14" s="469"/>
      <c r="I14" s="229">
        <f>H14+G14</f>
        <v>0</v>
      </c>
      <c r="J14" s="229">
        <f>I14*F14</f>
        <v>0</v>
      </c>
      <c r="K14" s="464"/>
      <c r="L14" s="258"/>
    </row>
    <row r="15" spans="1:12" s="119" customFormat="1" ht="100.4" customHeight="1" x14ac:dyDescent="0.25">
      <c r="A15" s="258"/>
      <c r="B15" s="464"/>
      <c r="C15" s="111">
        <v>1.3</v>
      </c>
      <c r="D15" s="118" t="s">
        <v>363</v>
      </c>
      <c r="E15" s="116" t="s">
        <v>42</v>
      </c>
      <c r="F15" s="111">
        <v>1</v>
      </c>
      <c r="G15" s="469"/>
      <c r="H15" s="469"/>
      <c r="I15" s="229">
        <f>H15+G15</f>
        <v>0</v>
      </c>
      <c r="J15" s="229">
        <f>I15*F15</f>
        <v>0</v>
      </c>
      <c r="K15" s="464"/>
      <c r="L15" s="258"/>
    </row>
    <row r="16" spans="1:12" ht="14.5" customHeight="1" thickBot="1" x14ac:dyDescent="0.35">
      <c r="A16" s="258"/>
      <c r="B16" s="258"/>
      <c r="C16" s="113"/>
      <c r="D16" s="112"/>
      <c r="E16" s="237" t="s">
        <v>61</v>
      </c>
      <c r="F16" s="238" t="s">
        <v>62</v>
      </c>
      <c r="G16" s="500" t="s">
        <v>63</v>
      </c>
      <c r="H16" s="500" t="s">
        <v>64</v>
      </c>
      <c r="I16" s="501" t="s">
        <v>65</v>
      </c>
      <c r="J16" s="502" t="s">
        <v>66</v>
      </c>
      <c r="K16" s="258"/>
      <c r="L16" s="258"/>
    </row>
    <row r="17" spans="1:12" ht="72" customHeight="1" thickTop="1" x14ac:dyDescent="0.25">
      <c r="A17" s="258"/>
      <c r="B17" s="258"/>
      <c r="C17" s="138">
        <v>2</v>
      </c>
      <c r="D17" s="187" t="s">
        <v>257</v>
      </c>
      <c r="E17" s="156" t="s">
        <v>35</v>
      </c>
      <c r="F17" s="156" t="s">
        <v>36</v>
      </c>
      <c r="G17" s="485" t="s">
        <v>325</v>
      </c>
      <c r="H17" s="486" t="s">
        <v>252</v>
      </c>
      <c r="I17" s="487" t="s">
        <v>253</v>
      </c>
      <c r="J17" s="503" t="s">
        <v>254</v>
      </c>
      <c r="K17" s="258"/>
      <c r="L17" s="258"/>
    </row>
    <row r="18" spans="1:12" s="119" customFormat="1" ht="80.150000000000006" customHeight="1" x14ac:dyDescent="0.25">
      <c r="A18" s="258"/>
      <c r="B18" s="464"/>
      <c r="C18" s="113">
        <v>2.1</v>
      </c>
      <c r="D18" s="139" t="s">
        <v>354</v>
      </c>
      <c r="E18" s="111" t="s">
        <v>90</v>
      </c>
      <c r="F18" s="111">
        <v>1</v>
      </c>
      <c r="G18" s="469"/>
      <c r="H18" s="469"/>
      <c r="I18" s="229">
        <f>H18+G18</f>
        <v>0</v>
      </c>
      <c r="J18" s="229">
        <f>I18*F18</f>
        <v>0</v>
      </c>
      <c r="K18" s="464"/>
      <c r="L18" s="258"/>
    </row>
    <row r="19" spans="1:12" s="119" customFormat="1" ht="93.65" customHeight="1" x14ac:dyDescent="0.25">
      <c r="A19" s="258"/>
      <c r="B19" s="464"/>
      <c r="C19" s="113">
        <v>2.2000000000000002</v>
      </c>
      <c r="D19" s="139" t="s">
        <v>355</v>
      </c>
      <c r="E19" s="111" t="s">
        <v>328</v>
      </c>
      <c r="F19" s="111" t="s">
        <v>261</v>
      </c>
      <c r="G19" s="469"/>
      <c r="H19" s="469"/>
      <c r="I19" s="229">
        <f>H19+G19</f>
        <v>0</v>
      </c>
      <c r="J19" s="154"/>
      <c r="K19" s="464"/>
      <c r="L19" s="258"/>
    </row>
    <row r="20" spans="1:12" s="119" customFormat="1" ht="16.5" customHeight="1" thickBot="1" x14ac:dyDescent="0.35">
      <c r="A20" s="258"/>
      <c r="B20" s="464"/>
      <c r="C20" s="113"/>
      <c r="D20" s="139"/>
      <c r="E20" s="237" t="s">
        <v>61</v>
      </c>
      <c r="F20" s="238" t="s">
        <v>62</v>
      </c>
      <c r="G20" s="500" t="s">
        <v>63</v>
      </c>
      <c r="H20" s="500" t="s">
        <v>64</v>
      </c>
      <c r="I20" s="501" t="s">
        <v>65</v>
      </c>
      <c r="J20" s="502" t="s">
        <v>66</v>
      </c>
      <c r="K20" s="464"/>
      <c r="L20" s="258"/>
    </row>
    <row r="21" spans="1:12" s="119" customFormat="1" ht="33.65" customHeight="1" thickTop="1" x14ac:dyDescent="0.25">
      <c r="A21" s="258"/>
      <c r="B21" s="464"/>
      <c r="C21" s="138">
        <v>3</v>
      </c>
      <c r="D21" s="141" t="s">
        <v>264</v>
      </c>
      <c r="E21" s="156" t="s">
        <v>35</v>
      </c>
      <c r="F21" s="156" t="s">
        <v>36</v>
      </c>
      <c r="G21" s="485" t="s">
        <v>325</v>
      </c>
      <c r="H21" s="486" t="s">
        <v>252</v>
      </c>
      <c r="I21" s="487" t="s">
        <v>253</v>
      </c>
      <c r="J21" s="503" t="s">
        <v>254</v>
      </c>
      <c r="K21" s="464"/>
      <c r="L21" s="258"/>
    </row>
    <row r="22" spans="1:12" s="119" customFormat="1" ht="28" customHeight="1" x14ac:dyDescent="0.25">
      <c r="A22" s="258"/>
      <c r="B22" s="464"/>
      <c r="C22" s="113">
        <v>3.1</v>
      </c>
      <c r="D22" s="140" t="s">
        <v>357</v>
      </c>
      <c r="E22" s="111" t="s">
        <v>328</v>
      </c>
      <c r="F22" s="122">
        <v>3</v>
      </c>
      <c r="G22" s="469"/>
      <c r="H22" s="469"/>
      <c r="I22" s="229">
        <f>H22+G22</f>
        <v>0</v>
      </c>
      <c r="J22" s="229">
        <f>I22*F22</f>
        <v>0</v>
      </c>
      <c r="K22" s="464"/>
      <c r="L22" s="258"/>
    </row>
    <row r="23" spans="1:12" s="119" customFormat="1" ht="28" customHeight="1" x14ac:dyDescent="0.25">
      <c r="A23" s="258"/>
      <c r="B23" s="464"/>
      <c r="C23" s="113">
        <v>3.2</v>
      </c>
      <c r="D23" s="140" t="s">
        <v>364</v>
      </c>
      <c r="E23" s="111" t="s">
        <v>328</v>
      </c>
      <c r="F23" s="122">
        <v>3</v>
      </c>
      <c r="G23" s="469"/>
      <c r="H23" s="469"/>
      <c r="I23" s="229">
        <f>H23+G23</f>
        <v>0</v>
      </c>
      <c r="J23" s="154"/>
      <c r="K23" s="464"/>
      <c r="L23" s="258"/>
    </row>
    <row r="24" spans="1:12" s="119" customFormat="1" ht="29.15" customHeight="1" x14ac:dyDescent="0.25">
      <c r="A24" s="258"/>
      <c r="B24" s="464"/>
      <c r="C24" s="113">
        <v>3.3</v>
      </c>
      <c r="D24" s="139" t="s">
        <v>269</v>
      </c>
      <c r="E24" s="122" t="s">
        <v>90</v>
      </c>
      <c r="F24" s="122">
        <v>1</v>
      </c>
      <c r="G24" s="469"/>
      <c r="H24" s="469"/>
      <c r="I24" s="229">
        <f>H24+G24</f>
        <v>0</v>
      </c>
      <c r="J24" s="229">
        <f>I24*F24</f>
        <v>0</v>
      </c>
      <c r="K24" s="464"/>
      <c r="L24" s="258"/>
    </row>
    <row r="25" spans="1:12" s="119" customFormat="1" ht="122.5" customHeight="1" x14ac:dyDescent="0.25">
      <c r="A25" s="258"/>
      <c r="B25" s="464"/>
      <c r="C25" s="113">
        <v>3.4</v>
      </c>
      <c r="D25" s="178" t="s">
        <v>329</v>
      </c>
      <c r="E25" s="122" t="s">
        <v>90</v>
      </c>
      <c r="F25" s="122">
        <v>1</v>
      </c>
      <c r="G25" s="469"/>
      <c r="H25" s="469"/>
      <c r="I25" s="229">
        <f>H25+G25</f>
        <v>0</v>
      </c>
      <c r="J25" s="229">
        <f>I25*F25</f>
        <v>0</v>
      </c>
      <c r="K25" s="464"/>
      <c r="L25" s="258"/>
    </row>
    <row r="26" spans="1:12" s="119" customFormat="1" ht="16.5" customHeight="1" thickBot="1" x14ac:dyDescent="0.35">
      <c r="A26" s="258"/>
      <c r="B26" s="464"/>
      <c r="C26" s="113"/>
      <c r="D26" s="139"/>
      <c r="E26" s="237" t="s">
        <v>61</v>
      </c>
      <c r="F26" s="238" t="s">
        <v>62</v>
      </c>
      <c r="G26" s="500" t="s">
        <v>63</v>
      </c>
      <c r="H26" s="500" t="s">
        <v>64</v>
      </c>
      <c r="I26" s="501" t="s">
        <v>65</v>
      </c>
      <c r="J26" s="502" t="s">
        <v>66</v>
      </c>
      <c r="K26" s="464"/>
      <c r="L26" s="258"/>
    </row>
    <row r="27" spans="1:12" s="119" customFormat="1" ht="31" customHeight="1" thickTop="1" x14ac:dyDescent="0.25">
      <c r="A27" s="258"/>
      <c r="B27" s="464"/>
      <c r="C27" s="138">
        <v>4</v>
      </c>
      <c r="D27" s="141" t="s">
        <v>272</v>
      </c>
      <c r="E27" s="156" t="s">
        <v>35</v>
      </c>
      <c r="F27" s="156" t="s">
        <v>36</v>
      </c>
      <c r="G27" s="485" t="s">
        <v>325</v>
      </c>
      <c r="H27" s="486" t="s">
        <v>252</v>
      </c>
      <c r="I27" s="487" t="s">
        <v>253</v>
      </c>
      <c r="J27" s="503" t="s">
        <v>254</v>
      </c>
      <c r="K27" s="464"/>
      <c r="L27" s="258"/>
    </row>
    <row r="28" spans="1:12" s="119" customFormat="1" ht="42" customHeight="1" x14ac:dyDescent="0.25">
      <c r="A28" s="258"/>
      <c r="B28" s="464"/>
      <c r="C28" s="113">
        <v>4.0999999999999996</v>
      </c>
      <c r="D28" s="139" t="s">
        <v>358</v>
      </c>
      <c r="E28" s="111" t="s">
        <v>90</v>
      </c>
      <c r="F28" s="111">
        <v>1</v>
      </c>
      <c r="G28" s="469"/>
      <c r="H28" s="469"/>
      <c r="I28" s="229">
        <f>H28+G28</f>
        <v>0</v>
      </c>
      <c r="J28" s="229">
        <f>I28*F28</f>
        <v>0</v>
      </c>
      <c r="K28" s="464"/>
      <c r="L28" s="258"/>
    </row>
    <row r="29" spans="1:12" s="119" customFormat="1" ht="54.75" customHeight="1" x14ac:dyDescent="0.25">
      <c r="A29" s="258"/>
      <c r="B29" s="464"/>
      <c r="C29" s="113">
        <v>4.2</v>
      </c>
      <c r="D29" s="139" t="s">
        <v>359</v>
      </c>
      <c r="E29" s="111" t="s">
        <v>90</v>
      </c>
      <c r="F29" s="111" t="s">
        <v>261</v>
      </c>
      <c r="G29" s="469"/>
      <c r="H29" s="469"/>
      <c r="I29" s="229">
        <f>H29+G29</f>
        <v>0</v>
      </c>
      <c r="J29" s="154"/>
      <c r="K29" s="464"/>
      <c r="L29" s="258"/>
    </row>
    <row r="30" spans="1:12" s="119" customFormat="1" ht="32.15" customHeight="1" x14ac:dyDescent="0.25">
      <c r="A30" s="258"/>
      <c r="B30" s="464"/>
      <c r="C30" s="113">
        <v>4.3</v>
      </c>
      <c r="D30" s="140" t="s">
        <v>276</v>
      </c>
      <c r="E30" s="111" t="s">
        <v>42</v>
      </c>
      <c r="F30" s="111">
        <v>1</v>
      </c>
      <c r="G30" s="469"/>
      <c r="H30" s="469"/>
      <c r="I30" s="229">
        <f>H30+G30</f>
        <v>0</v>
      </c>
      <c r="J30" s="229">
        <f>I30*F30</f>
        <v>0</v>
      </c>
      <c r="K30" s="464"/>
      <c r="L30" s="258"/>
    </row>
    <row r="31" spans="1:12" s="119" customFormat="1" ht="16.5" customHeight="1" thickBot="1" x14ac:dyDescent="0.35">
      <c r="A31" s="258"/>
      <c r="B31" s="464"/>
      <c r="C31" s="138">
        <v>5</v>
      </c>
      <c r="D31" s="141" t="s">
        <v>277</v>
      </c>
      <c r="E31" s="237" t="s">
        <v>61</v>
      </c>
      <c r="F31" s="238" t="s">
        <v>62</v>
      </c>
      <c r="G31" s="500" t="s">
        <v>63</v>
      </c>
      <c r="H31" s="500" t="s">
        <v>64</v>
      </c>
      <c r="I31" s="501" t="s">
        <v>65</v>
      </c>
      <c r="J31" s="502" t="s">
        <v>66</v>
      </c>
      <c r="K31" s="464"/>
      <c r="L31" s="258"/>
    </row>
    <row r="32" spans="1:12" s="119" customFormat="1" ht="28.5" customHeight="1" thickTop="1" x14ac:dyDescent="0.25">
      <c r="A32" s="258"/>
      <c r="B32" s="464"/>
      <c r="C32" s="113">
        <v>5.0999999999999996</v>
      </c>
      <c r="D32" s="142" t="s">
        <v>278</v>
      </c>
      <c r="E32" s="156" t="s">
        <v>35</v>
      </c>
      <c r="F32" s="156" t="s">
        <v>36</v>
      </c>
      <c r="G32" s="485" t="s">
        <v>325</v>
      </c>
      <c r="H32" s="486" t="s">
        <v>252</v>
      </c>
      <c r="I32" s="487" t="s">
        <v>253</v>
      </c>
      <c r="J32" s="503" t="s">
        <v>254</v>
      </c>
      <c r="K32" s="464"/>
      <c r="L32" s="258"/>
    </row>
    <row r="33" spans="1:12" s="119" customFormat="1" ht="28" customHeight="1" x14ac:dyDescent="0.25">
      <c r="A33" s="258"/>
      <c r="B33" s="464"/>
      <c r="C33" s="113">
        <v>5.2</v>
      </c>
      <c r="D33" s="141" t="s">
        <v>279</v>
      </c>
      <c r="E33" s="553"/>
      <c r="F33" s="555"/>
      <c r="G33" s="556"/>
      <c r="H33" s="556"/>
      <c r="I33" s="555"/>
      <c r="J33" s="557"/>
      <c r="K33" s="464"/>
      <c r="L33" s="258"/>
    </row>
    <row r="34" spans="1:12" s="119" customFormat="1" ht="42" customHeight="1" x14ac:dyDescent="0.25">
      <c r="A34" s="258"/>
      <c r="B34" s="464"/>
      <c r="C34" s="113"/>
      <c r="D34" s="115" t="s">
        <v>280</v>
      </c>
      <c r="E34" s="562"/>
      <c r="F34" s="563"/>
      <c r="G34" s="564"/>
      <c r="H34" s="564"/>
      <c r="I34" s="563"/>
      <c r="J34" s="565"/>
      <c r="K34" s="464"/>
      <c r="L34" s="258"/>
    </row>
    <row r="35" spans="1:12" s="119" customFormat="1" ht="14.15" customHeight="1" x14ac:dyDescent="0.25">
      <c r="A35" s="258"/>
      <c r="B35" s="464"/>
      <c r="C35" s="111" t="s">
        <v>281</v>
      </c>
      <c r="D35" s="117" t="s">
        <v>282</v>
      </c>
      <c r="E35" s="116" t="s">
        <v>108</v>
      </c>
      <c r="F35" s="111">
        <v>20</v>
      </c>
      <c r="G35" s="469"/>
      <c r="H35" s="469"/>
      <c r="I35" s="229">
        <f>H35+G35</f>
        <v>0</v>
      </c>
      <c r="J35" s="229">
        <f>I35*F35</f>
        <v>0</v>
      </c>
      <c r="K35" s="464"/>
      <c r="L35" s="258"/>
    </row>
    <row r="36" spans="1:12" s="119" customFormat="1" ht="14.15" customHeight="1" x14ac:dyDescent="0.25">
      <c r="A36" s="258"/>
      <c r="B36" s="464"/>
      <c r="C36" s="111" t="s">
        <v>283</v>
      </c>
      <c r="D36" s="117" t="s">
        <v>350</v>
      </c>
      <c r="E36" s="116" t="s">
        <v>108</v>
      </c>
      <c r="F36" s="111">
        <v>1</v>
      </c>
      <c r="G36" s="469"/>
      <c r="H36" s="469"/>
      <c r="I36" s="229">
        <f>H36+G36</f>
        <v>0</v>
      </c>
      <c r="J36" s="239"/>
      <c r="K36" s="464"/>
      <c r="L36" s="258"/>
    </row>
    <row r="37" spans="1:12" s="119" customFormat="1" ht="14.15" customHeight="1" x14ac:dyDescent="0.25">
      <c r="A37" s="258"/>
      <c r="B37" s="464"/>
      <c r="C37" s="111" t="s">
        <v>285</v>
      </c>
      <c r="D37" s="117" t="s">
        <v>286</v>
      </c>
      <c r="E37" s="116" t="s">
        <v>108</v>
      </c>
      <c r="F37" s="111">
        <v>20</v>
      </c>
      <c r="G37" s="469"/>
      <c r="H37" s="469"/>
      <c r="I37" s="229">
        <f>H37+G37</f>
        <v>0</v>
      </c>
      <c r="J37" s="229">
        <f>I37*F37</f>
        <v>0</v>
      </c>
      <c r="K37" s="464"/>
      <c r="L37" s="258"/>
    </row>
    <row r="38" spans="1:12" s="119" customFormat="1" ht="14.15" customHeight="1" x14ac:dyDescent="0.25">
      <c r="A38" s="258"/>
      <c r="B38" s="464"/>
      <c r="C38" s="113">
        <v>5.3</v>
      </c>
      <c r="D38" s="141" t="s">
        <v>287</v>
      </c>
      <c r="E38" s="610"/>
      <c r="F38" s="545"/>
      <c r="G38" s="546"/>
      <c r="H38" s="546"/>
      <c r="I38" s="545"/>
      <c r="J38" s="552"/>
      <c r="K38" s="464"/>
      <c r="L38" s="258"/>
    </row>
    <row r="39" spans="1:12" s="119" customFormat="1" ht="14.15" customHeight="1" x14ac:dyDescent="0.25">
      <c r="A39" s="258"/>
      <c r="B39" s="464"/>
      <c r="C39" s="113"/>
      <c r="D39" s="117" t="s">
        <v>288</v>
      </c>
      <c r="E39" s="553"/>
      <c r="F39" s="545"/>
      <c r="G39" s="546"/>
      <c r="H39" s="546"/>
      <c r="I39" s="545"/>
      <c r="J39" s="552"/>
      <c r="K39" s="464"/>
      <c r="L39" s="258"/>
    </row>
    <row r="40" spans="1:12" s="119" customFormat="1" ht="14.15" customHeight="1" x14ac:dyDescent="0.25">
      <c r="A40" s="258"/>
      <c r="B40" s="464"/>
      <c r="C40" s="111" t="s">
        <v>289</v>
      </c>
      <c r="D40" s="117" t="s">
        <v>330</v>
      </c>
      <c r="E40" s="116" t="s">
        <v>108</v>
      </c>
      <c r="F40" s="144">
        <v>20</v>
      </c>
      <c r="G40" s="469"/>
      <c r="H40" s="469"/>
      <c r="I40" s="229">
        <f>G40+H40</f>
        <v>0</v>
      </c>
      <c r="J40" s="229">
        <f>I40*F40</f>
        <v>0</v>
      </c>
      <c r="K40" s="464"/>
      <c r="L40" s="258"/>
    </row>
    <row r="41" spans="1:12" s="119" customFormat="1" ht="14.15" customHeight="1" x14ac:dyDescent="0.25">
      <c r="A41" s="258"/>
      <c r="B41" s="464"/>
      <c r="C41" s="113">
        <v>5.4</v>
      </c>
      <c r="D41" s="141" t="s">
        <v>291</v>
      </c>
      <c r="E41" s="225"/>
      <c r="F41" s="225"/>
      <c r="G41" s="504"/>
      <c r="H41" s="504"/>
      <c r="I41" s="226"/>
      <c r="J41" s="226"/>
      <c r="K41" s="464"/>
      <c r="L41" s="258"/>
    </row>
    <row r="42" spans="1:12" s="119" customFormat="1" ht="14.5" customHeight="1" thickBot="1" x14ac:dyDescent="0.35">
      <c r="A42" s="258"/>
      <c r="B42" s="464"/>
      <c r="C42" s="113"/>
      <c r="D42" s="117" t="s">
        <v>292</v>
      </c>
      <c r="E42" s="237" t="s">
        <v>61</v>
      </c>
      <c r="F42" s="238" t="s">
        <v>62</v>
      </c>
      <c r="G42" s="500" t="s">
        <v>63</v>
      </c>
      <c r="H42" s="500" t="s">
        <v>64</v>
      </c>
      <c r="I42" s="501" t="s">
        <v>65</v>
      </c>
      <c r="J42" s="502" t="s">
        <v>66</v>
      </c>
      <c r="K42" s="464"/>
      <c r="L42" s="258"/>
    </row>
    <row r="43" spans="1:12" s="119" customFormat="1" ht="28.5" customHeight="1" thickTop="1" x14ac:dyDescent="0.25">
      <c r="A43" s="258"/>
      <c r="B43" s="464"/>
      <c r="C43" s="121"/>
      <c r="D43" s="117" t="s">
        <v>174</v>
      </c>
      <c r="E43" s="156" t="s">
        <v>35</v>
      </c>
      <c r="F43" s="156" t="s">
        <v>36</v>
      </c>
      <c r="G43" s="485" t="s">
        <v>325</v>
      </c>
      <c r="H43" s="486" t="s">
        <v>252</v>
      </c>
      <c r="I43" s="487" t="s">
        <v>253</v>
      </c>
      <c r="J43" s="503" t="s">
        <v>254</v>
      </c>
      <c r="K43" s="464"/>
      <c r="L43" s="258"/>
    </row>
    <row r="44" spans="1:12" s="474" customFormat="1" ht="14.15" customHeight="1" x14ac:dyDescent="0.25">
      <c r="A44" s="258"/>
      <c r="B44" s="475"/>
      <c r="C44" s="111" t="s">
        <v>293</v>
      </c>
      <c r="D44" s="117" t="s">
        <v>282</v>
      </c>
      <c r="E44" s="116" t="s">
        <v>85</v>
      </c>
      <c r="F44" s="111">
        <v>10</v>
      </c>
      <c r="G44" s="469"/>
      <c r="H44" s="469"/>
      <c r="I44" s="229">
        <f>H44+G44</f>
        <v>0</v>
      </c>
      <c r="J44" s="229">
        <f>I44*F44</f>
        <v>0</v>
      </c>
      <c r="K44" s="464"/>
      <c r="L44" s="476"/>
    </row>
    <row r="45" spans="1:12" s="474" customFormat="1" ht="14.15" customHeight="1" x14ac:dyDescent="0.25">
      <c r="A45" s="258"/>
      <c r="B45" s="475"/>
      <c r="C45" s="111" t="s">
        <v>294</v>
      </c>
      <c r="D45" s="117" t="s">
        <v>350</v>
      </c>
      <c r="E45" s="116" t="s">
        <v>85</v>
      </c>
      <c r="F45" s="111">
        <v>1</v>
      </c>
      <c r="G45" s="469"/>
      <c r="H45" s="469"/>
      <c r="I45" s="229">
        <f>H45+G45</f>
        <v>0</v>
      </c>
      <c r="J45" s="239"/>
      <c r="K45" s="464"/>
      <c r="L45" s="476"/>
    </row>
    <row r="46" spans="1:12" s="474" customFormat="1" ht="14.15" customHeight="1" x14ac:dyDescent="0.25">
      <c r="A46" s="258"/>
      <c r="B46" s="475"/>
      <c r="C46" s="111" t="s">
        <v>295</v>
      </c>
      <c r="D46" s="117" t="s">
        <v>177</v>
      </c>
      <c r="E46" s="116" t="s">
        <v>85</v>
      </c>
      <c r="F46" s="111">
        <v>10</v>
      </c>
      <c r="G46" s="469"/>
      <c r="H46" s="469"/>
      <c r="I46" s="229">
        <f>H46+G46</f>
        <v>0</v>
      </c>
      <c r="J46" s="229">
        <f>I46*F46</f>
        <v>0</v>
      </c>
      <c r="K46" s="464"/>
      <c r="L46" s="476"/>
    </row>
    <row r="47" spans="1:12" s="474" customFormat="1" ht="14.15" customHeight="1" x14ac:dyDescent="0.25">
      <c r="A47" s="258"/>
      <c r="B47" s="475"/>
      <c r="C47" s="111" t="s">
        <v>296</v>
      </c>
      <c r="D47" s="117" t="s">
        <v>297</v>
      </c>
      <c r="E47" s="116" t="s">
        <v>85</v>
      </c>
      <c r="F47" s="111">
        <v>10</v>
      </c>
      <c r="G47" s="469"/>
      <c r="H47" s="469"/>
      <c r="I47" s="229">
        <f>H47+G47</f>
        <v>0</v>
      </c>
      <c r="J47" s="229">
        <f>I47*F47</f>
        <v>0</v>
      </c>
      <c r="K47" s="464"/>
      <c r="L47" s="476"/>
    </row>
    <row r="48" spans="1:12" s="119" customFormat="1" ht="14.15" customHeight="1" x14ac:dyDescent="0.25">
      <c r="A48" s="258"/>
      <c r="B48" s="464"/>
      <c r="C48" s="113">
        <v>5.5</v>
      </c>
      <c r="D48" s="141" t="s">
        <v>298</v>
      </c>
      <c r="E48" s="225"/>
      <c r="F48" s="610"/>
      <c r="G48" s="546"/>
      <c r="H48" s="546"/>
      <c r="I48" s="545"/>
      <c r="J48" s="552"/>
      <c r="K48" s="464"/>
      <c r="L48" s="258"/>
    </row>
    <row r="49" spans="1:12" s="119" customFormat="1" ht="28" customHeight="1" x14ac:dyDescent="0.25">
      <c r="A49" s="258"/>
      <c r="B49" s="464"/>
      <c r="C49" s="111" t="s">
        <v>299</v>
      </c>
      <c r="D49" s="117" t="s">
        <v>199</v>
      </c>
      <c r="E49" s="116" t="s">
        <v>108</v>
      </c>
      <c r="F49" s="111">
        <v>20</v>
      </c>
      <c r="G49" s="469"/>
      <c r="H49" s="469"/>
      <c r="I49" s="229">
        <f>H49+G49</f>
        <v>0</v>
      </c>
      <c r="J49" s="229">
        <f>I49*F49</f>
        <v>0</v>
      </c>
      <c r="K49" s="464"/>
      <c r="L49" s="258"/>
    </row>
    <row r="50" spans="1:12" s="119" customFormat="1" ht="28" customHeight="1" x14ac:dyDescent="0.25">
      <c r="A50" s="258"/>
      <c r="B50" s="464"/>
      <c r="C50" s="111" t="s">
        <v>300</v>
      </c>
      <c r="D50" s="117" t="s">
        <v>301</v>
      </c>
      <c r="E50" s="116" t="s">
        <v>42</v>
      </c>
      <c r="F50" s="111">
        <v>1</v>
      </c>
      <c r="G50" s="469"/>
      <c r="H50" s="469"/>
      <c r="I50" s="229">
        <f>H50+G50</f>
        <v>0</v>
      </c>
      <c r="J50" s="229">
        <f>I50*F50</f>
        <v>0</v>
      </c>
      <c r="K50" s="464"/>
      <c r="L50" s="258"/>
    </row>
    <row r="51" spans="1:12" s="119" customFormat="1" ht="14.5" customHeight="1" thickBot="1" x14ac:dyDescent="0.35">
      <c r="A51" s="258"/>
      <c r="B51" s="464"/>
      <c r="C51" s="113">
        <v>5.6</v>
      </c>
      <c r="D51" s="141" t="s">
        <v>302</v>
      </c>
      <c r="E51" s="237" t="s">
        <v>61</v>
      </c>
      <c r="F51" s="238" t="s">
        <v>62</v>
      </c>
      <c r="G51" s="500" t="s">
        <v>63</v>
      </c>
      <c r="H51" s="500" t="s">
        <v>64</v>
      </c>
      <c r="I51" s="501" t="s">
        <v>65</v>
      </c>
      <c r="J51" s="502" t="s">
        <v>66</v>
      </c>
      <c r="K51" s="464"/>
      <c r="L51" s="258"/>
    </row>
    <row r="52" spans="1:12" s="119" customFormat="1" ht="28.5" customHeight="1" thickTop="1" x14ac:dyDescent="0.25">
      <c r="A52" s="258"/>
      <c r="B52" s="464"/>
      <c r="C52" s="113"/>
      <c r="D52" s="117" t="s">
        <v>303</v>
      </c>
      <c r="E52" s="156" t="s">
        <v>35</v>
      </c>
      <c r="F52" s="156" t="s">
        <v>36</v>
      </c>
      <c r="G52" s="485" t="s">
        <v>325</v>
      </c>
      <c r="H52" s="486" t="s">
        <v>252</v>
      </c>
      <c r="I52" s="487" t="s">
        <v>253</v>
      </c>
      <c r="J52" s="503" t="s">
        <v>254</v>
      </c>
      <c r="K52" s="464"/>
      <c r="L52" s="258"/>
    </row>
    <row r="53" spans="1:12" s="119" customFormat="1" ht="14.15" customHeight="1" x14ac:dyDescent="0.25">
      <c r="A53" s="258"/>
      <c r="B53" s="464"/>
      <c r="C53" s="111" t="s">
        <v>304</v>
      </c>
      <c r="D53" s="117" t="s">
        <v>305</v>
      </c>
      <c r="E53" s="116" t="s">
        <v>108</v>
      </c>
      <c r="F53" s="111">
        <v>20</v>
      </c>
      <c r="G53" s="469"/>
      <c r="H53" s="469"/>
      <c r="I53" s="229">
        <f t="shared" ref="I53:I58" si="0">H53+G53</f>
        <v>0</v>
      </c>
      <c r="J53" s="229">
        <f t="shared" ref="J53:J58" si="1">I53*F53</f>
        <v>0</v>
      </c>
      <c r="K53" s="464"/>
      <c r="L53" s="258"/>
    </row>
    <row r="54" spans="1:12" s="119" customFormat="1" ht="14.15" customHeight="1" x14ac:dyDescent="0.25">
      <c r="A54" s="258"/>
      <c r="B54" s="464"/>
      <c r="C54" s="111" t="s">
        <v>306</v>
      </c>
      <c r="D54" s="117" t="s">
        <v>307</v>
      </c>
      <c r="E54" s="116" t="s">
        <v>108</v>
      </c>
      <c r="F54" s="111">
        <v>20</v>
      </c>
      <c r="G54" s="469"/>
      <c r="H54" s="469"/>
      <c r="I54" s="229">
        <f t="shared" si="0"/>
        <v>0</v>
      </c>
      <c r="J54" s="229">
        <f t="shared" si="1"/>
        <v>0</v>
      </c>
      <c r="K54" s="464"/>
      <c r="L54" s="258"/>
    </row>
    <row r="55" spans="1:12" s="119" customFormat="1" ht="14.15" customHeight="1" x14ac:dyDescent="0.25">
      <c r="A55" s="258"/>
      <c r="B55" s="464"/>
      <c r="C55" s="111" t="s">
        <v>308</v>
      </c>
      <c r="D55" s="117" t="s">
        <v>309</v>
      </c>
      <c r="E55" s="116" t="s">
        <v>108</v>
      </c>
      <c r="F55" s="111">
        <v>20</v>
      </c>
      <c r="G55" s="469"/>
      <c r="H55" s="469"/>
      <c r="I55" s="229">
        <f t="shared" si="0"/>
        <v>0</v>
      </c>
      <c r="J55" s="229">
        <f t="shared" si="1"/>
        <v>0</v>
      </c>
      <c r="K55" s="464"/>
      <c r="L55" s="258"/>
    </row>
    <row r="56" spans="1:12" s="119" customFormat="1" ht="28" customHeight="1" x14ac:dyDescent="0.25">
      <c r="A56" s="258"/>
      <c r="B56" s="464"/>
      <c r="C56" s="111" t="s">
        <v>310</v>
      </c>
      <c r="D56" s="118" t="s">
        <v>311</v>
      </c>
      <c r="E56" s="116" t="s">
        <v>108</v>
      </c>
      <c r="F56" s="111">
        <v>20</v>
      </c>
      <c r="G56" s="469"/>
      <c r="H56" s="469"/>
      <c r="I56" s="229">
        <f t="shared" si="0"/>
        <v>0</v>
      </c>
      <c r="J56" s="229">
        <f t="shared" si="1"/>
        <v>0</v>
      </c>
      <c r="K56" s="464"/>
      <c r="L56" s="258"/>
    </row>
    <row r="57" spans="1:12" s="119" customFormat="1" ht="28" customHeight="1" x14ac:dyDescent="0.25">
      <c r="A57" s="258"/>
      <c r="B57" s="464"/>
      <c r="C57" s="111" t="s">
        <v>312</v>
      </c>
      <c r="D57" s="118" t="s">
        <v>313</v>
      </c>
      <c r="E57" s="116" t="s">
        <v>108</v>
      </c>
      <c r="F57" s="111">
        <v>20</v>
      </c>
      <c r="G57" s="469"/>
      <c r="H57" s="469"/>
      <c r="I57" s="229">
        <f t="shared" si="0"/>
        <v>0</v>
      </c>
      <c r="J57" s="229">
        <f t="shared" si="1"/>
        <v>0</v>
      </c>
      <c r="K57" s="464"/>
      <c r="L57" s="258"/>
    </row>
    <row r="58" spans="1:12" s="119" customFormat="1" ht="28" customHeight="1" x14ac:dyDescent="0.25">
      <c r="A58" s="258"/>
      <c r="B58" s="464"/>
      <c r="C58" s="111" t="s">
        <v>314</v>
      </c>
      <c r="D58" s="117" t="s">
        <v>315</v>
      </c>
      <c r="E58" s="116" t="s">
        <v>108</v>
      </c>
      <c r="F58" s="111">
        <v>20</v>
      </c>
      <c r="G58" s="469"/>
      <c r="H58" s="469"/>
      <c r="I58" s="229">
        <f t="shared" si="0"/>
        <v>0</v>
      </c>
      <c r="J58" s="229">
        <f t="shared" si="1"/>
        <v>0</v>
      </c>
      <c r="K58" s="464"/>
      <c r="L58" s="258"/>
    </row>
    <row r="59" spans="1:12" s="119" customFormat="1" ht="14.5" customHeight="1" thickBot="1" x14ac:dyDescent="0.35">
      <c r="A59" s="258"/>
      <c r="B59" s="464"/>
      <c r="C59" s="113"/>
      <c r="D59" s="117"/>
      <c r="E59" s="232" t="s">
        <v>61</v>
      </c>
      <c r="F59" s="232" t="s">
        <v>62</v>
      </c>
      <c r="G59" s="500" t="s">
        <v>63</v>
      </c>
      <c r="H59" s="500" t="s">
        <v>64</v>
      </c>
      <c r="I59" s="501" t="s">
        <v>65</v>
      </c>
      <c r="J59" s="501" t="s">
        <v>66</v>
      </c>
      <c r="K59" s="464"/>
      <c r="L59" s="258"/>
    </row>
    <row r="60" spans="1:12" s="119" customFormat="1" ht="36" customHeight="1" thickTop="1" x14ac:dyDescent="0.25">
      <c r="A60" s="258"/>
      <c r="B60" s="464"/>
      <c r="C60" s="138">
        <v>6</v>
      </c>
      <c r="D60" s="141" t="s">
        <v>316</v>
      </c>
      <c r="E60" s="156" t="s">
        <v>35</v>
      </c>
      <c r="F60" s="156" t="s">
        <v>36</v>
      </c>
      <c r="G60" s="485" t="s">
        <v>325</v>
      </c>
      <c r="H60" s="486" t="s">
        <v>252</v>
      </c>
      <c r="I60" s="487" t="s">
        <v>253</v>
      </c>
      <c r="J60" s="503" t="s">
        <v>254</v>
      </c>
      <c r="K60" s="464"/>
      <c r="L60" s="258"/>
    </row>
    <row r="61" spans="1:12" s="119" customFormat="1" ht="42" customHeight="1" x14ac:dyDescent="0.25">
      <c r="A61" s="258"/>
      <c r="B61" s="464"/>
      <c r="C61" s="111">
        <v>6.1</v>
      </c>
      <c r="D61" s="117" t="s">
        <v>317</v>
      </c>
      <c r="E61" s="116" t="s">
        <v>42</v>
      </c>
      <c r="F61" s="111">
        <v>1</v>
      </c>
      <c r="G61" s="469"/>
      <c r="H61" s="469"/>
      <c r="I61" s="229">
        <f>H61+G61</f>
        <v>0</v>
      </c>
      <c r="J61" s="229">
        <f>I61*F61</f>
        <v>0</v>
      </c>
      <c r="K61" s="464"/>
      <c r="L61" s="258"/>
    </row>
    <row r="62" spans="1:12" s="119" customFormat="1" ht="21.65" customHeight="1" x14ac:dyDescent="0.25">
      <c r="A62" s="258"/>
      <c r="B62" s="464"/>
      <c r="C62" s="111">
        <v>6.2</v>
      </c>
      <c r="D62" s="117" t="s">
        <v>318</v>
      </c>
      <c r="E62" s="116" t="s">
        <v>42</v>
      </c>
      <c r="F62" s="111">
        <v>1</v>
      </c>
      <c r="G62" s="469"/>
      <c r="H62" s="469"/>
      <c r="I62" s="229">
        <f>H62+G62</f>
        <v>0</v>
      </c>
      <c r="J62" s="229">
        <f>I62*F62</f>
        <v>0</v>
      </c>
      <c r="K62" s="464"/>
      <c r="L62" s="258"/>
    </row>
    <row r="63" spans="1:12" s="119" customFormat="1" ht="21.65" customHeight="1" x14ac:dyDescent="0.25">
      <c r="A63" s="258"/>
      <c r="B63" s="464"/>
      <c r="C63" s="111">
        <v>6.3</v>
      </c>
      <c r="D63" s="117" t="s">
        <v>319</v>
      </c>
      <c r="E63" s="116" t="s">
        <v>42</v>
      </c>
      <c r="F63" s="111">
        <v>1</v>
      </c>
      <c r="G63" s="469"/>
      <c r="H63" s="469"/>
      <c r="I63" s="229">
        <f>H63+G63</f>
        <v>0</v>
      </c>
      <c r="J63" s="229">
        <f>I63*F63</f>
        <v>0</v>
      </c>
      <c r="K63" s="464"/>
      <c r="L63" s="258"/>
    </row>
    <row r="64" spans="1:12" s="119" customFormat="1" ht="21.65" customHeight="1" thickBot="1" x14ac:dyDescent="0.3">
      <c r="A64" s="258"/>
      <c r="B64" s="464"/>
      <c r="C64" s="111">
        <v>6.4</v>
      </c>
      <c r="D64" s="117" t="s">
        <v>320</v>
      </c>
      <c r="E64" s="116" t="s">
        <v>42</v>
      </c>
      <c r="F64" s="111">
        <v>1</v>
      </c>
      <c r="G64" s="469"/>
      <c r="H64" s="469"/>
      <c r="I64" s="229">
        <f>H64+G64</f>
        <v>0</v>
      </c>
      <c r="J64" s="229">
        <f>I64*F64</f>
        <v>0</v>
      </c>
      <c r="K64" s="464"/>
      <c r="L64" s="258"/>
    </row>
    <row r="65" spans="1:12" s="119" customFormat="1" ht="18.75" customHeight="1" thickBot="1" x14ac:dyDescent="0.3">
      <c r="A65" s="258"/>
      <c r="B65" s="464"/>
      <c r="C65" s="111"/>
      <c r="D65" s="230" t="s">
        <v>360</v>
      </c>
      <c r="E65" s="621"/>
      <c r="F65" s="545"/>
      <c r="G65" s="546"/>
      <c r="H65" s="546"/>
      <c r="I65" s="622"/>
      <c r="J65" s="240">
        <f>SUM(J14:J64)</f>
        <v>0</v>
      </c>
      <c r="K65" s="464"/>
      <c r="L65" s="258"/>
    </row>
    <row r="66" spans="1:12" s="162" customFormat="1" ht="38.25" customHeight="1" thickBot="1" x14ac:dyDescent="0.3">
      <c r="A66" s="258"/>
      <c r="B66" s="258"/>
      <c r="C66" s="625" t="s">
        <v>456</v>
      </c>
      <c r="D66" s="626"/>
      <c r="E66" s="626"/>
      <c r="F66" s="626"/>
      <c r="G66" s="626"/>
      <c r="H66" s="626"/>
      <c r="I66" s="626"/>
      <c r="J66" s="627"/>
      <c r="K66" s="258"/>
      <c r="L66" s="258"/>
    </row>
    <row r="67" spans="1:12" ht="18.75" customHeight="1" x14ac:dyDescent="0.25">
      <c r="A67" s="258"/>
      <c r="B67" s="258"/>
      <c r="C67" s="535" t="s">
        <v>459</v>
      </c>
      <c r="D67" s="536"/>
      <c r="E67" s="536"/>
      <c r="F67" s="536"/>
      <c r="G67" s="536"/>
      <c r="H67" s="536"/>
      <c r="I67" s="536"/>
      <c r="J67" s="537"/>
      <c r="K67" s="258"/>
      <c r="L67" s="258"/>
    </row>
    <row r="68" spans="1:12" ht="18.75" customHeight="1" x14ac:dyDescent="0.25">
      <c r="A68" s="258"/>
      <c r="B68" s="258"/>
      <c r="C68" s="538"/>
      <c r="D68" s="539"/>
      <c r="E68" s="539"/>
      <c r="F68" s="539"/>
      <c r="G68" s="539"/>
      <c r="H68" s="539"/>
      <c r="I68" s="539"/>
      <c r="J68" s="540"/>
      <c r="K68" s="258"/>
      <c r="L68" s="258"/>
    </row>
    <row r="69" spans="1:12" ht="18.75" customHeight="1" x14ac:dyDescent="0.25">
      <c r="A69" s="258"/>
      <c r="B69" s="258"/>
      <c r="C69" s="538"/>
      <c r="D69" s="539"/>
      <c r="E69" s="539"/>
      <c r="F69" s="539"/>
      <c r="G69" s="539"/>
      <c r="H69" s="539"/>
      <c r="I69" s="539"/>
      <c r="J69" s="540"/>
      <c r="K69" s="258"/>
      <c r="L69" s="258"/>
    </row>
    <row r="70" spans="1:12" s="8" customFormat="1" ht="18.75" customHeight="1" x14ac:dyDescent="0.25">
      <c r="A70" s="258"/>
      <c r="B70" s="492"/>
      <c r="C70" s="538"/>
      <c r="D70" s="539"/>
      <c r="E70" s="539"/>
      <c r="F70" s="539"/>
      <c r="G70" s="539"/>
      <c r="H70" s="539"/>
      <c r="I70" s="539"/>
      <c r="J70" s="540"/>
      <c r="K70" s="286"/>
      <c r="L70" s="258"/>
    </row>
    <row r="71" spans="1:12" s="8" customFormat="1" ht="93.75" customHeight="1" thickBot="1" x14ac:dyDescent="0.3">
      <c r="A71" s="258"/>
      <c r="B71" s="492"/>
      <c r="C71" s="541"/>
      <c r="D71" s="542"/>
      <c r="E71" s="542"/>
      <c r="F71" s="542"/>
      <c r="G71" s="542"/>
      <c r="H71" s="542"/>
      <c r="I71" s="542"/>
      <c r="J71" s="543"/>
      <c r="K71" s="286"/>
      <c r="L71" s="258"/>
    </row>
    <row r="72" spans="1:12" s="8" customFormat="1" ht="18.75" customHeight="1" x14ac:dyDescent="0.25">
      <c r="A72" s="258"/>
      <c r="B72" s="492"/>
      <c r="C72" s="35"/>
      <c r="D72" s="45"/>
      <c r="E72" s="35"/>
      <c r="F72" s="35"/>
      <c r="G72" s="258"/>
      <c r="H72" s="258"/>
      <c r="I72" s="295"/>
      <c r="J72" s="295"/>
      <c r="K72" s="286"/>
      <c r="L72" s="258"/>
    </row>
    <row r="73" spans="1:12" s="8" customFormat="1" ht="18.75" customHeight="1" x14ac:dyDescent="0.25">
      <c r="A73" s="258"/>
      <c r="B73" s="492"/>
      <c r="C73" s="35"/>
      <c r="D73" s="45"/>
      <c r="E73" s="35"/>
      <c r="F73" s="35"/>
      <c r="G73" s="258"/>
      <c r="H73" s="258"/>
      <c r="I73" s="295"/>
      <c r="J73" s="295"/>
      <c r="K73" s="286"/>
      <c r="L73" s="258"/>
    </row>
    <row r="74" spans="1:12" s="8" customFormat="1" ht="18.75" customHeight="1" x14ac:dyDescent="0.25">
      <c r="A74" s="258"/>
      <c r="B74" s="492"/>
      <c r="C74" s="35"/>
      <c r="D74" s="45"/>
      <c r="E74" s="35"/>
      <c r="F74" s="35"/>
      <c r="G74" s="258"/>
      <c r="H74" s="258"/>
      <c r="I74" s="295"/>
      <c r="J74" s="295"/>
      <c r="K74" s="286"/>
      <c r="L74" s="258"/>
    </row>
    <row r="75" spans="1:12" s="8" customFormat="1" ht="18.75" customHeight="1" x14ac:dyDescent="0.25">
      <c r="A75" s="258"/>
      <c r="B75" s="492"/>
      <c r="C75" s="35"/>
      <c r="D75" s="45"/>
      <c r="E75" s="35"/>
      <c r="F75" s="35"/>
      <c r="G75" s="258"/>
      <c r="H75" s="258"/>
      <c r="I75" s="295"/>
      <c r="J75" s="295"/>
      <c r="K75" s="286"/>
      <c r="L75" s="258"/>
    </row>
    <row r="76" spans="1:12" s="8" customFormat="1" ht="18.75" customHeight="1" x14ac:dyDescent="0.25">
      <c r="A76" s="258"/>
      <c r="B76" s="492"/>
      <c r="C76" s="35"/>
      <c r="D76" s="45"/>
      <c r="E76" s="35"/>
      <c r="F76" s="35"/>
      <c r="G76" s="258"/>
      <c r="H76" s="258"/>
      <c r="I76" s="295"/>
      <c r="J76" s="295"/>
      <c r="K76" s="286"/>
      <c r="L76" s="258"/>
    </row>
    <row r="77" spans="1:12" s="8" customFormat="1" ht="18.75" customHeight="1" x14ac:dyDescent="0.25">
      <c r="A77" s="258"/>
      <c r="B77" s="492"/>
      <c r="C77" s="35"/>
      <c r="D77" s="45"/>
      <c r="E77" s="35"/>
      <c r="F77" s="35"/>
      <c r="G77" s="258"/>
      <c r="H77" s="258"/>
      <c r="I77" s="295"/>
      <c r="J77" s="295"/>
      <c r="K77" s="286"/>
      <c r="L77" s="258"/>
    </row>
    <row r="78" spans="1:12" s="8" customFormat="1" ht="18.75" customHeight="1" x14ac:dyDescent="0.25">
      <c r="A78" s="258"/>
      <c r="B78" s="492"/>
      <c r="C78" s="35"/>
      <c r="D78" s="45"/>
      <c r="E78" s="35"/>
      <c r="F78" s="35"/>
      <c r="G78" s="258"/>
      <c r="H78" s="258"/>
      <c r="I78" s="295"/>
      <c r="J78" s="295"/>
      <c r="K78" s="286"/>
      <c r="L78" s="258"/>
    </row>
  </sheetData>
  <sheetProtection algorithmName="SHA-512" hashValue="8jiLnLXxEwYZYToCvK6W75hSifqoRD9/Gx340VUIHvomAiJZClBKNzlSUVgH+GuS8LCyveAA1+NO18SxT2F8ZQ==" saltValue="u31nBF/ZkgrrL5uUvYyuNA==" spinCount="100000" sheet="1" objects="1" scenarios="1"/>
  <mergeCells count="12">
    <mergeCell ref="C66:J66"/>
    <mergeCell ref="C67:J71"/>
    <mergeCell ref="H1:J4"/>
    <mergeCell ref="C5:J5"/>
    <mergeCell ref="C6:J6"/>
    <mergeCell ref="E65:I65"/>
    <mergeCell ref="E38:J38"/>
    <mergeCell ref="E39:J39"/>
    <mergeCell ref="E33:J34"/>
    <mergeCell ref="C7:J7"/>
    <mergeCell ref="F48:J48"/>
    <mergeCell ref="E9:J11"/>
  </mergeCells>
  <pageMargins left="0" right="0" top="0" bottom="0" header="0.31496062992125978" footer="0.31496062992125978"/>
  <pageSetup paperSize="9" scale="52" fitToHeight="0"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rowBreaks count="1" manualBreakCount="1">
    <brk id="25" min="1" max="10"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C00000"/>
  </sheetPr>
  <dimension ref="A1:K91"/>
  <sheetViews>
    <sheetView view="pageBreakPreview" topLeftCell="A9" zoomScale="55" zoomScaleNormal="80" zoomScaleSheetLayoutView="55" workbookViewId="0">
      <selection activeCell="O14" sqref="O14"/>
    </sheetView>
  </sheetViews>
  <sheetFormatPr defaultColWidth="8.54296875" defaultRowHeight="12.5" x14ac:dyDescent="0.25"/>
  <cols>
    <col min="2" max="2" width="3.453125" style="162" customWidth="1"/>
    <col min="3" max="3" width="9.453125" style="35" customWidth="1"/>
    <col min="4" max="4" width="81.453125" style="45" customWidth="1"/>
    <col min="5" max="5" width="7.54296875" style="35" customWidth="1"/>
    <col min="6" max="6" width="14.453125" style="35" customWidth="1"/>
    <col min="7" max="7" width="17.453125" style="8" customWidth="1"/>
    <col min="8" max="8" width="13.81640625" style="8" customWidth="1"/>
    <col min="9" max="9" width="15.54296875" style="295" customWidth="1"/>
    <col min="10" max="10" width="16.81640625" style="295" bestFit="1" customWidth="1"/>
    <col min="11" max="11" width="2.453125" style="162" customWidth="1"/>
  </cols>
  <sheetData>
    <row r="1" spans="1:11" x14ac:dyDescent="0.25">
      <c r="H1" s="530" t="e" vm="1">
        <v>#VALUE!</v>
      </c>
      <c r="I1" s="530"/>
      <c r="J1" s="530"/>
    </row>
    <row r="2" spans="1:11" x14ac:dyDescent="0.25">
      <c r="H2" s="530"/>
      <c r="I2" s="530"/>
      <c r="J2" s="530"/>
    </row>
    <row r="3" spans="1:11" x14ac:dyDescent="0.25">
      <c r="H3" s="530"/>
      <c r="I3" s="530"/>
      <c r="J3" s="530"/>
    </row>
    <row r="4" spans="1:11" x14ac:dyDescent="0.25">
      <c r="H4" s="531"/>
      <c r="I4" s="531"/>
      <c r="J4" s="531"/>
    </row>
    <row r="5" spans="1:11" ht="15.65" customHeight="1" x14ac:dyDescent="0.35">
      <c r="A5" s="258"/>
      <c r="B5" s="258"/>
      <c r="C5" s="551" t="s">
        <v>0</v>
      </c>
      <c r="D5" s="545"/>
      <c r="E5" s="545"/>
      <c r="F5" s="545"/>
      <c r="G5" s="546"/>
      <c r="H5" s="546"/>
      <c r="I5" s="545"/>
      <c r="J5" s="552"/>
      <c r="K5" s="258"/>
    </row>
    <row r="6" spans="1:11" ht="15.65" customHeight="1" x14ac:dyDescent="0.35">
      <c r="A6" s="258"/>
      <c r="B6" s="258"/>
      <c r="C6" s="566" t="str">
        <f>'SECTION 1-P&amp;G'!C8</f>
        <v>ACSA KSIA POWER FACTOR CORRECTION UPGRADE</v>
      </c>
      <c r="D6" s="545"/>
      <c r="E6" s="545"/>
      <c r="F6" s="545"/>
      <c r="G6" s="546"/>
      <c r="H6" s="546"/>
      <c r="I6" s="545"/>
      <c r="J6" s="552"/>
      <c r="K6" s="258"/>
    </row>
    <row r="7" spans="1:11" ht="16" customHeight="1" thickBot="1" x14ac:dyDescent="0.3">
      <c r="A7" s="258"/>
      <c r="B7" s="258"/>
      <c r="C7" s="615" t="s">
        <v>365</v>
      </c>
      <c r="D7" s="545"/>
      <c r="E7" s="545"/>
      <c r="F7" s="545"/>
      <c r="G7" s="546"/>
      <c r="H7" s="546"/>
      <c r="I7" s="545"/>
      <c r="J7" s="552"/>
      <c r="K7" s="258"/>
    </row>
    <row r="8" spans="1:11" ht="45.75" customHeight="1" thickTop="1" x14ac:dyDescent="0.25">
      <c r="A8" s="258"/>
      <c r="B8" s="258"/>
      <c r="C8" s="196" t="s">
        <v>246</v>
      </c>
      <c r="D8" s="188" t="s">
        <v>4</v>
      </c>
      <c r="E8" s="33" t="s">
        <v>35</v>
      </c>
      <c r="F8" s="33" t="s">
        <v>36</v>
      </c>
      <c r="G8" s="314" t="s">
        <v>325</v>
      </c>
      <c r="H8" s="317" t="s">
        <v>252</v>
      </c>
      <c r="I8" s="480" t="s">
        <v>253</v>
      </c>
      <c r="J8" s="493" t="s">
        <v>254</v>
      </c>
      <c r="K8" s="258"/>
    </row>
    <row r="9" spans="1:11" ht="27.65" customHeight="1" x14ac:dyDescent="0.25">
      <c r="A9" s="258"/>
      <c r="B9" s="258"/>
      <c r="C9" s="156"/>
      <c r="D9" s="114" t="s">
        <v>247</v>
      </c>
      <c r="E9" s="554"/>
      <c r="F9" s="555"/>
      <c r="G9" s="556"/>
      <c r="H9" s="556"/>
      <c r="I9" s="555"/>
      <c r="J9" s="557"/>
      <c r="K9" s="258"/>
    </row>
    <row r="10" spans="1:11" ht="28" customHeight="1" x14ac:dyDescent="0.3">
      <c r="A10" s="258"/>
      <c r="B10" s="258"/>
      <c r="C10" s="113"/>
      <c r="D10" s="110" t="s">
        <v>248</v>
      </c>
      <c r="E10" s="558"/>
      <c r="F10" s="559"/>
      <c r="G10" s="560"/>
      <c r="H10" s="560"/>
      <c r="I10" s="530"/>
      <c r="J10" s="561"/>
      <c r="K10" s="258"/>
    </row>
    <row r="11" spans="1:11" ht="28" customHeight="1" x14ac:dyDescent="0.3">
      <c r="A11" s="258"/>
      <c r="B11" s="258"/>
      <c r="C11" s="113"/>
      <c r="D11" s="110" t="s">
        <v>249</v>
      </c>
      <c r="E11" s="562"/>
      <c r="F11" s="563"/>
      <c r="G11" s="564"/>
      <c r="H11" s="564"/>
      <c r="I11" s="563"/>
      <c r="J11" s="565"/>
      <c r="K11" s="258"/>
    </row>
    <row r="12" spans="1:11" s="119" customFormat="1" ht="16.5" customHeight="1" thickBot="1" x14ac:dyDescent="0.35">
      <c r="A12" s="258"/>
      <c r="B12" s="464"/>
      <c r="C12" s="138">
        <v>1</v>
      </c>
      <c r="D12" s="141" t="s">
        <v>250</v>
      </c>
      <c r="E12" s="232" t="s">
        <v>61</v>
      </c>
      <c r="F12" s="232" t="s">
        <v>62</v>
      </c>
      <c r="G12" s="500" t="s">
        <v>63</v>
      </c>
      <c r="H12" s="500" t="s">
        <v>64</v>
      </c>
      <c r="I12" s="501" t="s">
        <v>65</v>
      </c>
      <c r="J12" s="501" t="s">
        <v>66</v>
      </c>
      <c r="K12" s="464"/>
    </row>
    <row r="13" spans="1:11" s="119" customFormat="1" ht="28.5" customHeight="1" thickTop="1" x14ac:dyDescent="0.25">
      <c r="A13" s="258"/>
      <c r="B13" s="464"/>
      <c r="C13" s="113"/>
      <c r="D13" s="142"/>
      <c r="E13" s="156" t="s">
        <v>35</v>
      </c>
      <c r="F13" s="156" t="s">
        <v>36</v>
      </c>
      <c r="G13" s="485" t="s">
        <v>325</v>
      </c>
      <c r="H13" s="486" t="s">
        <v>252</v>
      </c>
      <c r="I13" s="487" t="s">
        <v>253</v>
      </c>
      <c r="J13" s="503" t="s">
        <v>254</v>
      </c>
      <c r="K13" s="464"/>
    </row>
    <row r="14" spans="1:11" s="119" customFormat="1" ht="92.15" customHeight="1" x14ac:dyDescent="0.25">
      <c r="A14" s="258"/>
      <c r="B14" s="464"/>
      <c r="C14" s="111">
        <v>1.1000000000000001</v>
      </c>
      <c r="D14" s="118" t="s">
        <v>366</v>
      </c>
      <c r="E14" s="116" t="s">
        <v>42</v>
      </c>
      <c r="F14" s="111">
        <v>1</v>
      </c>
      <c r="G14" s="469"/>
      <c r="H14" s="469"/>
      <c r="I14" s="229">
        <f>H14+G14</f>
        <v>0</v>
      </c>
      <c r="J14" s="229">
        <f>I14*F14</f>
        <v>0</v>
      </c>
      <c r="K14" s="464"/>
    </row>
    <row r="15" spans="1:11" s="119" customFormat="1" ht="100.4" customHeight="1" x14ac:dyDescent="0.25">
      <c r="A15" s="258"/>
      <c r="B15" s="464"/>
      <c r="C15" s="111">
        <v>1.2</v>
      </c>
      <c r="D15" s="118" t="s">
        <v>367</v>
      </c>
      <c r="E15" s="116" t="s">
        <v>42</v>
      </c>
      <c r="F15" s="111">
        <v>1</v>
      </c>
      <c r="G15" s="469"/>
      <c r="H15" s="469"/>
      <c r="I15" s="229">
        <f>H15+G15</f>
        <v>0</v>
      </c>
      <c r="J15" s="229">
        <f>I15*F15</f>
        <v>0</v>
      </c>
      <c r="K15" s="464"/>
    </row>
    <row r="16" spans="1:11" ht="14.5" customHeight="1" thickBot="1" x14ac:dyDescent="0.35">
      <c r="A16" s="258"/>
      <c r="B16" s="258"/>
      <c r="C16" s="113"/>
      <c r="D16" s="112"/>
      <c r="E16" s="232" t="s">
        <v>61</v>
      </c>
      <c r="F16" s="232" t="s">
        <v>62</v>
      </c>
      <c r="G16" s="500" t="s">
        <v>63</v>
      </c>
      <c r="H16" s="500" t="s">
        <v>64</v>
      </c>
      <c r="I16" s="501" t="s">
        <v>65</v>
      </c>
      <c r="J16" s="501" t="s">
        <v>66</v>
      </c>
      <c r="K16" s="258"/>
    </row>
    <row r="17" spans="1:11" ht="85.4" customHeight="1" thickTop="1" x14ac:dyDescent="0.25">
      <c r="A17" s="258"/>
      <c r="B17" s="258"/>
      <c r="C17" s="138">
        <v>2</v>
      </c>
      <c r="D17" s="187" t="s">
        <v>257</v>
      </c>
      <c r="E17" s="156" t="s">
        <v>35</v>
      </c>
      <c r="F17" s="156" t="s">
        <v>36</v>
      </c>
      <c r="G17" s="485" t="s">
        <v>325</v>
      </c>
      <c r="H17" s="486" t="s">
        <v>252</v>
      </c>
      <c r="I17" s="487" t="s">
        <v>253</v>
      </c>
      <c r="J17" s="503" t="s">
        <v>254</v>
      </c>
      <c r="K17" s="258"/>
    </row>
    <row r="18" spans="1:11" s="119" customFormat="1" ht="93.65" customHeight="1" x14ac:dyDescent="0.25">
      <c r="A18" s="258"/>
      <c r="B18" s="464"/>
      <c r="C18" s="113">
        <v>2.1</v>
      </c>
      <c r="D18" s="139" t="s">
        <v>368</v>
      </c>
      <c r="E18" s="111" t="s">
        <v>90</v>
      </c>
      <c r="F18" s="111">
        <v>2</v>
      </c>
      <c r="G18" s="469">
        <v>0</v>
      </c>
      <c r="H18" s="469"/>
      <c r="I18" s="229">
        <f>H18+G18</f>
        <v>0</v>
      </c>
      <c r="J18" s="229">
        <f>I18*F18</f>
        <v>0</v>
      </c>
      <c r="K18" s="464"/>
    </row>
    <row r="19" spans="1:11" s="119" customFormat="1" ht="93.65" customHeight="1" x14ac:dyDescent="0.25">
      <c r="A19" s="258"/>
      <c r="B19" s="464"/>
      <c r="C19" s="113">
        <v>2.2000000000000002</v>
      </c>
      <c r="D19" s="139" t="s">
        <v>343</v>
      </c>
      <c r="E19" s="111" t="s">
        <v>85</v>
      </c>
      <c r="F19" s="111" t="s">
        <v>261</v>
      </c>
      <c r="G19" s="469"/>
      <c r="H19" s="469"/>
      <c r="I19" s="229">
        <f>H19+G19</f>
        <v>0</v>
      </c>
      <c r="J19" s="154"/>
      <c r="K19" s="464"/>
    </row>
    <row r="20" spans="1:11" s="119" customFormat="1" ht="93.65" customHeight="1" x14ac:dyDescent="0.25">
      <c r="A20" s="258"/>
      <c r="B20" s="464"/>
      <c r="C20" s="113">
        <v>2.2999999999999998</v>
      </c>
      <c r="D20" s="139" t="s">
        <v>262</v>
      </c>
      <c r="E20" s="111" t="s">
        <v>85</v>
      </c>
      <c r="F20" s="111" t="s">
        <v>261</v>
      </c>
      <c r="G20" s="469"/>
      <c r="H20" s="469"/>
      <c r="I20" s="229">
        <f>H20+G20</f>
        <v>0</v>
      </c>
      <c r="J20" s="154"/>
      <c r="K20" s="464"/>
    </row>
    <row r="21" spans="1:11" s="119" customFormat="1" ht="93.65" customHeight="1" x14ac:dyDescent="0.25">
      <c r="A21" s="258"/>
      <c r="B21" s="464"/>
      <c r="C21" s="113">
        <v>2.4</v>
      </c>
      <c r="D21" s="139" t="s">
        <v>263</v>
      </c>
      <c r="E21" s="111" t="s">
        <v>85</v>
      </c>
      <c r="F21" s="111" t="s">
        <v>261</v>
      </c>
      <c r="G21" s="469"/>
      <c r="H21" s="469"/>
      <c r="I21" s="229">
        <f>H21+G21</f>
        <v>0</v>
      </c>
      <c r="J21" s="154"/>
      <c r="K21" s="464"/>
    </row>
    <row r="22" spans="1:11" s="119" customFormat="1" ht="16.5" customHeight="1" thickBot="1" x14ac:dyDescent="0.35">
      <c r="A22" s="258"/>
      <c r="B22" s="464"/>
      <c r="C22" s="113"/>
      <c r="D22" s="139"/>
      <c r="E22" s="232" t="s">
        <v>61</v>
      </c>
      <c r="F22" s="232" t="s">
        <v>62</v>
      </c>
      <c r="G22" s="500" t="s">
        <v>63</v>
      </c>
      <c r="H22" s="500" t="s">
        <v>64</v>
      </c>
      <c r="I22" s="501" t="s">
        <v>65</v>
      </c>
      <c r="J22" s="501" t="s">
        <v>66</v>
      </c>
      <c r="K22" s="464"/>
    </row>
    <row r="23" spans="1:11" s="119" customFormat="1" ht="32.15" customHeight="1" thickTop="1" x14ac:dyDescent="0.25">
      <c r="A23" s="258"/>
      <c r="B23" s="464"/>
      <c r="C23" s="138">
        <v>3</v>
      </c>
      <c r="D23" s="141" t="s">
        <v>264</v>
      </c>
      <c r="E23" s="156" t="s">
        <v>35</v>
      </c>
      <c r="F23" s="156" t="s">
        <v>36</v>
      </c>
      <c r="G23" s="485" t="s">
        <v>325</v>
      </c>
      <c r="H23" s="486" t="s">
        <v>252</v>
      </c>
      <c r="I23" s="487" t="s">
        <v>253</v>
      </c>
      <c r="J23" s="503" t="s">
        <v>254</v>
      </c>
      <c r="K23" s="464"/>
    </row>
    <row r="24" spans="1:11" s="119" customFormat="1" ht="44.15" customHeight="1" x14ac:dyDescent="0.25">
      <c r="A24" s="258"/>
      <c r="B24" s="464"/>
      <c r="C24" s="113">
        <v>3.1</v>
      </c>
      <c r="D24" s="140" t="s">
        <v>344</v>
      </c>
      <c r="E24" s="122" t="s">
        <v>85</v>
      </c>
      <c r="F24" s="122">
        <f>3*2</f>
        <v>6</v>
      </c>
      <c r="G24" s="469"/>
      <c r="H24" s="469"/>
      <c r="I24" s="229">
        <f t="shared" ref="I24:I29" si="0">H24+G24</f>
        <v>0</v>
      </c>
      <c r="J24" s="229">
        <f>I24*F24</f>
        <v>0</v>
      </c>
      <c r="K24" s="464"/>
    </row>
    <row r="25" spans="1:11" s="119" customFormat="1" ht="39.65" customHeight="1" x14ac:dyDescent="0.25">
      <c r="A25" s="258"/>
      <c r="B25" s="464"/>
      <c r="C25" s="113">
        <v>3.2</v>
      </c>
      <c r="D25" s="140" t="s">
        <v>345</v>
      </c>
      <c r="E25" s="122" t="s">
        <v>85</v>
      </c>
      <c r="F25" s="122" t="s">
        <v>266</v>
      </c>
      <c r="G25" s="469"/>
      <c r="H25" s="469"/>
      <c r="I25" s="229">
        <f t="shared" si="0"/>
        <v>0</v>
      </c>
      <c r="J25" s="239"/>
      <c r="K25" s="464"/>
    </row>
    <row r="26" spans="1:11" s="119" customFormat="1" ht="39.65" customHeight="1" x14ac:dyDescent="0.25">
      <c r="A26" s="258"/>
      <c r="B26" s="464"/>
      <c r="C26" s="113">
        <v>3.3</v>
      </c>
      <c r="D26" s="140" t="s">
        <v>346</v>
      </c>
      <c r="E26" s="122" t="s">
        <v>85</v>
      </c>
      <c r="F26" s="122" t="s">
        <v>266</v>
      </c>
      <c r="G26" s="469"/>
      <c r="H26" s="469"/>
      <c r="I26" s="229">
        <f t="shared" si="0"/>
        <v>0</v>
      </c>
      <c r="J26" s="239"/>
      <c r="K26" s="464"/>
    </row>
    <row r="27" spans="1:11" s="119" customFormat="1" ht="39.65" customHeight="1" x14ac:dyDescent="0.25">
      <c r="A27" s="258"/>
      <c r="B27" s="464"/>
      <c r="C27" s="113">
        <v>3.4</v>
      </c>
      <c r="D27" s="140" t="s">
        <v>265</v>
      </c>
      <c r="E27" s="122" t="s">
        <v>85</v>
      </c>
      <c r="F27" s="122" t="s">
        <v>266</v>
      </c>
      <c r="G27" s="469"/>
      <c r="H27" s="469"/>
      <c r="I27" s="229">
        <f t="shared" si="0"/>
        <v>0</v>
      </c>
      <c r="J27" s="239"/>
      <c r="K27" s="464"/>
    </row>
    <row r="28" spans="1:11" s="119" customFormat="1" ht="22.5" customHeight="1" x14ac:dyDescent="0.25">
      <c r="A28" s="258"/>
      <c r="B28" s="464"/>
      <c r="C28" s="113">
        <v>3.5</v>
      </c>
      <c r="D28" s="139" t="s">
        <v>269</v>
      </c>
      <c r="E28" s="122" t="s">
        <v>90</v>
      </c>
      <c r="F28" s="122">
        <v>2</v>
      </c>
      <c r="G28" s="469"/>
      <c r="H28" s="469"/>
      <c r="I28" s="229">
        <f t="shared" si="0"/>
        <v>0</v>
      </c>
      <c r="J28" s="229">
        <f>I28*F28</f>
        <v>0</v>
      </c>
      <c r="K28" s="464"/>
    </row>
    <row r="29" spans="1:11" s="119" customFormat="1" ht="134.5" customHeight="1" x14ac:dyDescent="0.25">
      <c r="A29" s="258"/>
      <c r="B29" s="464"/>
      <c r="C29" s="113">
        <v>3.6</v>
      </c>
      <c r="D29" s="153" t="s">
        <v>369</v>
      </c>
      <c r="E29" s="122" t="s">
        <v>90</v>
      </c>
      <c r="F29" s="122">
        <v>1</v>
      </c>
      <c r="G29" s="469"/>
      <c r="H29" s="469"/>
      <c r="I29" s="229">
        <f t="shared" si="0"/>
        <v>0</v>
      </c>
      <c r="J29" s="229">
        <f>I29*F29</f>
        <v>0</v>
      </c>
      <c r="K29" s="464"/>
    </row>
    <row r="30" spans="1:11" s="119" customFormat="1" ht="16.5" customHeight="1" thickBot="1" x14ac:dyDescent="0.35">
      <c r="A30" s="258"/>
      <c r="B30" s="464"/>
      <c r="C30" s="113"/>
      <c r="D30" s="139"/>
      <c r="E30" s="232" t="s">
        <v>61</v>
      </c>
      <c r="F30" s="232" t="s">
        <v>62</v>
      </c>
      <c r="G30" s="500" t="s">
        <v>63</v>
      </c>
      <c r="H30" s="500" t="s">
        <v>64</v>
      </c>
      <c r="I30" s="501" t="s">
        <v>65</v>
      </c>
      <c r="J30" s="501" t="s">
        <v>66</v>
      </c>
      <c r="K30" s="464"/>
    </row>
    <row r="31" spans="1:11" s="119" customFormat="1" ht="33" customHeight="1" thickTop="1" x14ac:dyDescent="0.25">
      <c r="A31" s="258"/>
      <c r="B31" s="464"/>
      <c r="C31" s="138">
        <v>4</v>
      </c>
      <c r="D31" s="141" t="s">
        <v>272</v>
      </c>
      <c r="E31" s="156" t="s">
        <v>35</v>
      </c>
      <c r="F31" s="156" t="s">
        <v>36</v>
      </c>
      <c r="G31" s="485" t="s">
        <v>325</v>
      </c>
      <c r="H31" s="486" t="s">
        <v>252</v>
      </c>
      <c r="I31" s="487" t="s">
        <v>253</v>
      </c>
      <c r="J31" s="503" t="s">
        <v>254</v>
      </c>
      <c r="K31" s="464"/>
    </row>
    <row r="32" spans="1:11" s="119" customFormat="1" ht="50.25" customHeight="1" x14ac:dyDescent="0.25">
      <c r="A32" s="258"/>
      <c r="B32" s="464"/>
      <c r="C32" s="113">
        <v>4.0999999999999996</v>
      </c>
      <c r="D32" s="139" t="s">
        <v>347</v>
      </c>
      <c r="E32" s="111" t="s">
        <v>90</v>
      </c>
      <c r="F32" s="111">
        <v>2</v>
      </c>
      <c r="G32" s="469"/>
      <c r="H32" s="469"/>
      <c r="I32" s="229">
        <f>H32+G32</f>
        <v>0</v>
      </c>
      <c r="J32" s="229">
        <f>I32*F32</f>
        <v>0</v>
      </c>
      <c r="K32" s="464"/>
    </row>
    <row r="33" spans="1:11" s="119" customFormat="1" ht="57" customHeight="1" x14ac:dyDescent="0.25">
      <c r="A33" s="258"/>
      <c r="B33" s="464"/>
      <c r="C33" s="113">
        <v>4.2</v>
      </c>
      <c r="D33" s="139" t="s">
        <v>348</v>
      </c>
      <c r="E33" s="111" t="s">
        <v>90</v>
      </c>
      <c r="F33" s="111" t="s">
        <v>266</v>
      </c>
      <c r="G33" s="469"/>
      <c r="H33" s="469"/>
      <c r="I33" s="229">
        <f>H33+G33</f>
        <v>0</v>
      </c>
      <c r="J33" s="154"/>
      <c r="K33" s="464"/>
    </row>
    <row r="34" spans="1:11" s="119" customFormat="1" ht="42" customHeight="1" x14ac:dyDescent="0.25">
      <c r="A34" s="258"/>
      <c r="B34" s="464"/>
      <c r="C34" s="113">
        <v>4.3</v>
      </c>
      <c r="D34" s="139" t="s">
        <v>349</v>
      </c>
      <c r="E34" s="111" t="s">
        <v>90</v>
      </c>
      <c r="F34" s="111">
        <v>1</v>
      </c>
      <c r="G34" s="469"/>
      <c r="H34" s="469"/>
      <c r="I34" s="229">
        <f>H34+G34</f>
        <v>0</v>
      </c>
      <c r="J34" s="229">
        <f>I34*F34</f>
        <v>0</v>
      </c>
      <c r="K34" s="464"/>
    </row>
    <row r="35" spans="1:11" s="119" customFormat="1" ht="52.5" customHeight="1" x14ac:dyDescent="0.25">
      <c r="A35" s="258"/>
      <c r="B35" s="464"/>
      <c r="C35" s="113">
        <v>4.4000000000000004</v>
      </c>
      <c r="D35" s="139" t="s">
        <v>273</v>
      </c>
      <c r="E35" s="111" t="s">
        <v>90</v>
      </c>
      <c r="F35" s="111" t="s">
        <v>266</v>
      </c>
      <c r="G35" s="469"/>
      <c r="H35" s="469"/>
      <c r="I35" s="229">
        <f>H35+G35</f>
        <v>0</v>
      </c>
      <c r="J35" s="154"/>
      <c r="K35" s="464"/>
    </row>
    <row r="36" spans="1:11" s="119" customFormat="1" ht="32.15" customHeight="1" x14ac:dyDescent="0.25">
      <c r="A36" s="258"/>
      <c r="B36" s="464"/>
      <c r="C36" s="113">
        <v>4.5</v>
      </c>
      <c r="D36" s="140" t="s">
        <v>276</v>
      </c>
      <c r="E36" s="111" t="s">
        <v>42</v>
      </c>
      <c r="F36" s="111">
        <v>1</v>
      </c>
      <c r="G36" s="469"/>
      <c r="H36" s="469"/>
      <c r="I36" s="229">
        <f>H36+G36</f>
        <v>0</v>
      </c>
      <c r="J36" s="229">
        <f>I36*F36</f>
        <v>0</v>
      </c>
      <c r="K36" s="464"/>
    </row>
    <row r="37" spans="1:11" s="119" customFormat="1" ht="16.5" customHeight="1" thickBot="1" x14ac:dyDescent="0.35">
      <c r="A37" s="258"/>
      <c r="B37" s="464"/>
      <c r="C37" s="138">
        <v>5</v>
      </c>
      <c r="D37" s="141" t="s">
        <v>277</v>
      </c>
      <c r="E37" s="232" t="s">
        <v>61</v>
      </c>
      <c r="F37" s="232" t="s">
        <v>62</v>
      </c>
      <c r="G37" s="500" t="s">
        <v>63</v>
      </c>
      <c r="H37" s="500" t="s">
        <v>64</v>
      </c>
      <c r="I37" s="501" t="s">
        <v>65</v>
      </c>
      <c r="J37" s="501" t="s">
        <v>66</v>
      </c>
      <c r="K37" s="464"/>
    </row>
    <row r="38" spans="1:11" s="119" customFormat="1" ht="28.5" customHeight="1" thickTop="1" x14ac:dyDescent="0.25">
      <c r="A38" s="258"/>
      <c r="B38" s="464"/>
      <c r="C38" s="113">
        <v>5.0999999999999996</v>
      </c>
      <c r="D38" s="142" t="s">
        <v>278</v>
      </c>
      <c r="E38" s="156" t="s">
        <v>35</v>
      </c>
      <c r="F38" s="156" t="s">
        <v>36</v>
      </c>
      <c r="G38" s="485" t="s">
        <v>325</v>
      </c>
      <c r="H38" s="486" t="s">
        <v>252</v>
      </c>
      <c r="I38" s="487" t="s">
        <v>253</v>
      </c>
      <c r="J38" s="503" t="s">
        <v>254</v>
      </c>
      <c r="K38" s="464"/>
    </row>
    <row r="39" spans="1:11" s="119" customFormat="1" ht="28" customHeight="1" x14ac:dyDescent="0.25">
      <c r="A39" s="258"/>
      <c r="B39" s="464"/>
      <c r="C39" s="113">
        <v>5.2</v>
      </c>
      <c r="D39" s="141" t="s">
        <v>279</v>
      </c>
      <c r="E39" s="553"/>
      <c r="F39" s="555"/>
      <c r="G39" s="556"/>
      <c r="H39" s="556"/>
      <c r="I39" s="555"/>
      <c r="J39" s="557"/>
      <c r="K39" s="464"/>
    </row>
    <row r="40" spans="1:11" s="119" customFormat="1" ht="42" customHeight="1" x14ac:dyDescent="0.25">
      <c r="A40" s="258"/>
      <c r="B40" s="464"/>
      <c r="C40" s="113"/>
      <c r="D40" s="115" t="s">
        <v>280</v>
      </c>
      <c r="E40" s="562"/>
      <c r="F40" s="563"/>
      <c r="G40" s="564"/>
      <c r="H40" s="564"/>
      <c r="I40" s="563"/>
      <c r="J40" s="565"/>
      <c r="K40" s="464"/>
    </row>
    <row r="41" spans="1:11" s="119" customFormat="1" ht="14.15" customHeight="1" x14ac:dyDescent="0.25">
      <c r="A41" s="258"/>
      <c r="B41" s="464"/>
      <c r="C41" s="111" t="s">
        <v>281</v>
      </c>
      <c r="D41" s="117" t="s">
        <v>282</v>
      </c>
      <c r="E41" s="116" t="s">
        <v>108</v>
      </c>
      <c r="F41" s="111">
        <v>100</v>
      </c>
      <c r="G41" s="469"/>
      <c r="H41" s="469"/>
      <c r="I41" s="229">
        <f>H41+G41</f>
        <v>0</v>
      </c>
      <c r="J41" s="229">
        <f>I41*F41</f>
        <v>0</v>
      </c>
      <c r="K41" s="464"/>
    </row>
    <row r="42" spans="1:11" s="119" customFormat="1" ht="14.15" customHeight="1" x14ac:dyDescent="0.25">
      <c r="A42" s="258"/>
      <c r="B42" s="464"/>
      <c r="C42" s="111" t="s">
        <v>283</v>
      </c>
      <c r="D42" s="117" t="s">
        <v>350</v>
      </c>
      <c r="E42" s="116" t="s">
        <v>108</v>
      </c>
      <c r="F42" s="111">
        <v>1</v>
      </c>
      <c r="G42" s="469"/>
      <c r="H42" s="469"/>
      <c r="I42" s="229">
        <f>H42+G42</f>
        <v>0</v>
      </c>
      <c r="J42" s="239"/>
      <c r="K42" s="464"/>
    </row>
    <row r="43" spans="1:11" s="119" customFormat="1" ht="14.15" customHeight="1" x14ac:dyDescent="0.25">
      <c r="A43" s="258"/>
      <c r="B43" s="464"/>
      <c r="C43" s="111" t="s">
        <v>285</v>
      </c>
      <c r="D43" s="117" t="s">
        <v>370</v>
      </c>
      <c r="E43" s="116" t="s">
        <v>108</v>
      </c>
      <c r="F43" s="111">
        <v>1</v>
      </c>
      <c r="G43" s="469"/>
      <c r="H43" s="469"/>
      <c r="I43" s="229">
        <f>H43+G43</f>
        <v>0</v>
      </c>
      <c r="J43" s="239"/>
      <c r="K43" s="464"/>
    </row>
    <row r="44" spans="1:11" s="119" customFormat="1" ht="14.15" customHeight="1" x14ac:dyDescent="0.25">
      <c r="A44" s="258"/>
      <c r="B44" s="464"/>
      <c r="C44" s="111" t="s">
        <v>371</v>
      </c>
      <c r="D44" s="117" t="s">
        <v>372</v>
      </c>
      <c r="E44" s="116" t="s">
        <v>108</v>
      </c>
      <c r="F44" s="111">
        <v>1</v>
      </c>
      <c r="G44" s="469"/>
      <c r="H44" s="469"/>
      <c r="I44" s="229">
        <f>H44+G44</f>
        <v>0</v>
      </c>
      <c r="J44" s="239"/>
      <c r="K44" s="464"/>
    </row>
    <row r="45" spans="1:11" s="119" customFormat="1" ht="14.15" customHeight="1" x14ac:dyDescent="0.25">
      <c r="A45" s="258"/>
      <c r="B45" s="464"/>
      <c r="C45" s="111" t="s">
        <v>373</v>
      </c>
      <c r="D45" s="117" t="s">
        <v>286</v>
      </c>
      <c r="E45" s="116" t="s">
        <v>108</v>
      </c>
      <c r="F45" s="111">
        <f>20*2</f>
        <v>40</v>
      </c>
      <c r="G45" s="469"/>
      <c r="H45" s="469"/>
      <c r="I45" s="229">
        <f>H45+G45</f>
        <v>0</v>
      </c>
      <c r="J45" s="229">
        <f>I45*F45</f>
        <v>0</v>
      </c>
      <c r="K45" s="464"/>
    </row>
    <row r="46" spans="1:11" s="119" customFormat="1" ht="14.15" customHeight="1" x14ac:dyDescent="0.25">
      <c r="A46" s="258"/>
      <c r="B46" s="464"/>
      <c r="C46" s="113">
        <v>5.3</v>
      </c>
      <c r="D46" s="141" t="s">
        <v>287</v>
      </c>
      <c r="E46" s="610"/>
      <c r="F46" s="555"/>
      <c r="G46" s="556"/>
      <c r="H46" s="556"/>
      <c r="I46" s="555"/>
      <c r="J46" s="557"/>
      <c r="K46" s="464"/>
    </row>
    <row r="47" spans="1:11" s="119" customFormat="1" ht="14.15" customHeight="1" x14ac:dyDescent="0.25">
      <c r="A47" s="258"/>
      <c r="B47" s="464"/>
      <c r="C47" s="113"/>
      <c r="D47" s="117" t="s">
        <v>288</v>
      </c>
      <c r="E47" s="562"/>
      <c r="F47" s="563"/>
      <c r="G47" s="564"/>
      <c r="H47" s="564"/>
      <c r="I47" s="563"/>
      <c r="J47" s="565"/>
      <c r="K47" s="464"/>
    </row>
    <row r="48" spans="1:11" s="119" customFormat="1" ht="14.15" customHeight="1" x14ac:dyDescent="0.25">
      <c r="A48" s="258"/>
      <c r="B48" s="464"/>
      <c r="C48" s="111" t="s">
        <v>289</v>
      </c>
      <c r="D48" s="117" t="s">
        <v>330</v>
      </c>
      <c r="E48" s="116" t="s">
        <v>108</v>
      </c>
      <c r="F48" s="144">
        <f>15*2</f>
        <v>30</v>
      </c>
      <c r="G48" s="469"/>
      <c r="H48" s="469"/>
      <c r="I48" s="229">
        <f>G48+H48</f>
        <v>0</v>
      </c>
      <c r="J48" s="229">
        <f>I48*F48</f>
        <v>0</v>
      </c>
      <c r="K48" s="464"/>
    </row>
    <row r="49" spans="1:11" s="119" customFormat="1" ht="14.5" customHeight="1" thickBot="1" x14ac:dyDescent="0.35">
      <c r="A49" s="258"/>
      <c r="B49" s="464"/>
      <c r="C49" s="113">
        <v>5.4</v>
      </c>
      <c r="D49" s="141" t="s">
        <v>291</v>
      </c>
      <c r="E49" s="232" t="s">
        <v>61</v>
      </c>
      <c r="F49" s="232" t="s">
        <v>62</v>
      </c>
      <c r="G49" s="500" t="s">
        <v>63</v>
      </c>
      <c r="H49" s="500" t="s">
        <v>64</v>
      </c>
      <c r="I49" s="501" t="s">
        <v>65</v>
      </c>
      <c r="J49" s="501" t="s">
        <v>66</v>
      </c>
      <c r="K49" s="464"/>
    </row>
    <row r="50" spans="1:11" s="119" customFormat="1" ht="28.5" customHeight="1" thickTop="1" x14ac:dyDescent="0.25">
      <c r="A50" s="258"/>
      <c r="B50" s="464"/>
      <c r="C50" s="113"/>
      <c r="D50" s="117"/>
      <c r="E50" s="156" t="s">
        <v>35</v>
      </c>
      <c r="F50" s="156" t="s">
        <v>36</v>
      </c>
      <c r="G50" s="485" t="s">
        <v>325</v>
      </c>
      <c r="H50" s="486" t="s">
        <v>252</v>
      </c>
      <c r="I50" s="487" t="s">
        <v>253</v>
      </c>
      <c r="J50" s="503" t="s">
        <v>254</v>
      </c>
      <c r="K50" s="464"/>
    </row>
    <row r="51" spans="1:11" s="119" customFormat="1" ht="14.15" customHeight="1" x14ac:dyDescent="0.25">
      <c r="A51" s="258"/>
      <c r="B51" s="464"/>
      <c r="C51" s="113"/>
      <c r="D51" s="117" t="s">
        <v>292</v>
      </c>
      <c r="E51" s="553"/>
      <c r="F51" s="555"/>
      <c r="G51" s="556"/>
      <c r="H51" s="556"/>
      <c r="I51" s="555"/>
      <c r="J51" s="557"/>
      <c r="K51" s="464"/>
    </row>
    <row r="52" spans="1:11" s="119" customFormat="1" ht="28" customHeight="1" x14ac:dyDescent="0.25">
      <c r="A52" s="258"/>
      <c r="B52" s="464"/>
      <c r="C52" s="121"/>
      <c r="D52" s="117" t="s">
        <v>174</v>
      </c>
      <c r="E52" s="562"/>
      <c r="F52" s="563"/>
      <c r="G52" s="564"/>
      <c r="H52" s="564"/>
      <c r="I52" s="563"/>
      <c r="J52" s="565"/>
      <c r="K52" s="464"/>
    </row>
    <row r="53" spans="1:11" s="474" customFormat="1" ht="14.15" customHeight="1" x14ac:dyDescent="0.25">
      <c r="A53" s="258"/>
      <c r="B53" s="475"/>
      <c r="C53" s="111" t="s">
        <v>293</v>
      </c>
      <c r="D53" s="117" t="s">
        <v>282</v>
      </c>
      <c r="E53" s="116" t="s">
        <v>85</v>
      </c>
      <c r="F53" s="111">
        <v>20</v>
      </c>
      <c r="G53" s="469"/>
      <c r="H53" s="469"/>
      <c r="I53" s="229">
        <f t="shared" ref="I53:I58" si="1">H53+G53</f>
        <v>0</v>
      </c>
      <c r="J53" s="229">
        <f>I53*F53</f>
        <v>0</v>
      </c>
      <c r="K53" s="475"/>
    </row>
    <row r="54" spans="1:11" s="474" customFormat="1" ht="14.15" customHeight="1" x14ac:dyDescent="0.25">
      <c r="A54" s="258"/>
      <c r="B54" s="475"/>
      <c r="C54" s="111" t="s">
        <v>294</v>
      </c>
      <c r="D54" s="117" t="s">
        <v>350</v>
      </c>
      <c r="E54" s="116" t="s">
        <v>85</v>
      </c>
      <c r="F54" s="111">
        <v>1</v>
      </c>
      <c r="G54" s="469"/>
      <c r="H54" s="469"/>
      <c r="I54" s="229">
        <f t="shared" si="1"/>
        <v>0</v>
      </c>
      <c r="J54" s="239"/>
      <c r="K54" s="475"/>
    </row>
    <row r="55" spans="1:11" s="474" customFormat="1" ht="14.15" customHeight="1" x14ac:dyDescent="0.25">
      <c r="A55" s="258"/>
      <c r="B55" s="475"/>
      <c r="C55" s="111" t="s">
        <v>295</v>
      </c>
      <c r="D55" s="117" t="s">
        <v>372</v>
      </c>
      <c r="E55" s="116" t="s">
        <v>85</v>
      </c>
      <c r="F55" s="111">
        <v>1</v>
      </c>
      <c r="G55" s="469"/>
      <c r="H55" s="469"/>
      <c r="I55" s="229">
        <f t="shared" si="1"/>
        <v>0</v>
      </c>
      <c r="J55" s="239"/>
      <c r="K55" s="475"/>
    </row>
    <row r="56" spans="1:11" s="474" customFormat="1" ht="14.15" customHeight="1" x14ac:dyDescent="0.25">
      <c r="A56" s="258"/>
      <c r="B56" s="475"/>
      <c r="C56" s="111" t="s">
        <v>296</v>
      </c>
      <c r="D56" s="117" t="s">
        <v>370</v>
      </c>
      <c r="E56" s="116" t="s">
        <v>85</v>
      </c>
      <c r="F56" s="111">
        <v>1</v>
      </c>
      <c r="G56" s="469"/>
      <c r="H56" s="469"/>
      <c r="I56" s="229">
        <f t="shared" si="1"/>
        <v>0</v>
      </c>
      <c r="J56" s="239"/>
      <c r="K56" s="475"/>
    </row>
    <row r="57" spans="1:11" s="474" customFormat="1" ht="14.15" customHeight="1" x14ac:dyDescent="0.25">
      <c r="A57" s="258"/>
      <c r="B57" s="475"/>
      <c r="C57" s="111" t="s">
        <v>374</v>
      </c>
      <c r="D57" s="117" t="s">
        <v>177</v>
      </c>
      <c r="E57" s="116" t="s">
        <v>85</v>
      </c>
      <c r="F57" s="111">
        <v>10</v>
      </c>
      <c r="G57" s="469"/>
      <c r="H57" s="469"/>
      <c r="I57" s="229">
        <f t="shared" si="1"/>
        <v>0</v>
      </c>
      <c r="J57" s="229">
        <f>I57*F57</f>
        <v>0</v>
      </c>
      <c r="K57" s="475"/>
    </row>
    <row r="58" spans="1:11" s="474" customFormat="1" ht="14.15" customHeight="1" x14ac:dyDescent="0.25">
      <c r="A58" s="258"/>
      <c r="B58" s="475"/>
      <c r="C58" s="111" t="s">
        <v>375</v>
      </c>
      <c r="D58" s="117" t="s">
        <v>297</v>
      </c>
      <c r="E58" s="116" t="s">
        <v>85</v>
      </c>
      <c r="F58" s="111">
        <v>10</v>
      </c>
      <c r="G58" s="469"/>
      <c r="H58" s="469"/>
      <c r="I58" s="229">
        <f t="shared" si="1"/>
        <v>0</v>
      </c>
      <c r="J58" s="229">
        <f>I58*F58</f>
        <v>0</v>
      </c>
      <c r="K58" s="475"/>
    </row>
    <row r="59" spans="1:11" s="119" customFormat="1" ht="14.5" customHeight="1" thickBot="1" x14ac:dyDescent="0.35">
      <c r="A59" s="258"/>
      <c r="B59" s="464"/>
      <c r="C59" s="121"/>
      <c r="D59" s="115"/>
      <c r="E59" s="232" t="s">
        <v>61</v>
      </c>
      <c r="F59" s="232" t="s">
        <v>62</v>
      </c>
      <c r="G59" s="500" t="s">
        <v>63</v>
      </c>
      <c r="H59" s="500" t="s">
        <v>64</v>
      </c>
      <c r="I59" s="501" t="s">
        <v>65</v>
      </c>
      <c r="J59" s="501" t="s">
        <v>66</v>
      </c>
      <c r="K59" s="464"/>
    </row>
    <row r="60" spans="1:11" s="119" customFormat="1" ht="28.5" customHeight="1" thickTop="1" x14ac:dyDescent="0.25">
      <c r="A60" s="258"/>
      <c r="B60" s="464"/>
      <c r="C60" s="113">
        <v>5.5</v>
      </c>
      <c r="D60" s="141" t="s">
        <v>298</v>
      </c>
      <c r="E60" s="156" t="s">
        <v>35</v>
      </c>
      <c r="F60" s="156" t="s">
        <v>36</v>
      </c>
      <c r="G60" s="485" t="s">
        <v>325</v>
      </c>
      <c r="H60" s="486" t="s">
        <v>252</v>
      </c>
      <c r="I60" s="487" t="s">
        <v>253</v>
      </c>
      <c r="J60" s="503" t="s">
        <v>254</v>
      </c>
      <c r="K60" s="464"/>
    </row>
    <row r="61" spans="1:11" s="119" customFormat="1" ht="28" customHeight="1" x14ac:dyDescent="0.25">
      <c r="A61" s="258"/>
      <c r="B61" s="464"/>
      <c r="C61" s="111" t="s">
        <v>299</v>
      </c>
      <c r="D61" s="117" t="s">
        <v>199</v>
      </c>
      <c r="E61" s="116" t="s">
        <v>108</v>
      </c>
      <c r="F61" s="111">
        <f>20*2</f>
        <v>40</v>
      </c>
      <c r="G61" s="469"/>
      <c r="H61" s="469"/>
      <c r="I61" s="229">
        <f>H61+G61</f>
        <v>0</v>
      </c>
      <c r="J61" s="229">
        <f>I61*F61</f>
        <v>0</v>
      </c>
      <c r="K61" s="464"/>
    </row>
    <row r="62" spans="1:11" s="119" customFormat="1" ht="28" customHeight="1" x14ac:dyDescent="0.25">
      <c r="A62" s="258"/>
      <c r="B62" s="464"/>
      <c r="C62" s="111" t="s">
        <v>300</v>
      </c>
      <c r="D62" s="117" t="s">
        <v>301</v>
      </c>
      <c r="E62" s="116" t="s">
        <v>42</v>
      </c>
      <c r="F62" s="111">
        <v>1</v>
      </c>
      <c r="G62" s="469"/>
      <c r="H62" s="469"/>
      <c r="I62" s="229">
        <f>H62+G62</f>
        <v>0</v>
      </c>
      <c r="J62" s="229">
        <f>I62*F62</f>
        <v>0</v>
      </c>
      <c r="K62" s="464"/>
    </row>
    <row r="63" spans="1:11" s="119" customFormat="1" ht="14.5" customHeight="1" thickBot="1" x14ac:dyDescent="0.35">
      <c r="A63" s="258"/>
      <c r="B63" s="464"/>
      <c r="C63" s="113">
        <v>5.6</v>
      </c>
      <c r="D63" s="141" t="s">
        <v>302</v>
      </c>
      <c r="E63" s="232" t="s">
        <v>61</v>
      </c>
      <c r="F63" s="232" t="s">
        <v>62</v>
      </c>
      <c r="G63" s="500" t="s">
        <v>63</v>
      </c>
      <c r="H63" s="500" t="s">
        <v>64</v>
      </c>
      <c r="I63" s="501" t="s">
        <v>65</v>
      </c>
      <c r="J63" s="501" t="s">
        <v>66</v>
      </c>
      <c r="K63" s="464"/>
    </row>
    <row r="64" spans="1:11" s="119" customFormat="1" ht="28.5" customHeight="1" thickTop="1" x14ac:dyDescent="0.25">
      <c r="A64" s="258"/>
      <c r="B64" s="464"/>
      <c r="C64" s="113"/>
      <c r="D64" s="142"/>
      <c r="E64" s="156" t="s">
        <v>35</v>
      </c>
      <c r="F64" s="156" t="s">
        <v>36</v>
      </c>
      <c r="G64" s="485" t="s">
        <v>325</v>
      </c>
      <c r="H64" s="486" t="s">
        <v>252</v>
      </c>
      <c r="I64" s="487" t="s">
        <v>253</v>
      </c>
      <c r="J64" s="503" t="s">
        <v>254</v>
      </c>
      <c r="K64" s="464"/>
    </row>
    <row r="65" spans="1:11" s="119" customFormat="1" ht="14.15" customHeight="1" x14ac:dyDescent="0.25">
      <c r="A65" s="258"/>
      <c r="B65" s="464"/>
      <c r="C65" s="113"/>
      <c r="D65" s="117" t="s">
        <v>303</v>
      </c>
      <c r="E65" s="610"/>
      <c r="F65" s="545"/>
      <c r="G65" s="546"/>
      <c r="H65" s="546"/>
      <c r="I65" s="545"/>
      <c r="J65" s="552"/>
      <c r="K65" s="464"/>
    </row>
    <row r="66" spans="1:11" s="119" customFormat="1" ht="14.15" customHeight="1" x14ac:dyDescent="0.25">
      <c r="A66" s="258"/>
      <c r="B66" s="464"/>
      <c r="C66" s="111" t="s">
        <v>304</v>
      </c>
      <c r="D66" s="117" t="s">
        <v>305</v>
      </c>
      <c r="E66" s="116" t="s">
        <v>108</v>
      </c>
      <c r="F66" s="111">
        <v>20</v>
      </c>
      <c r="G66" s="469"/>
      <c r="H66" s="469"/>
      <c r="I66" s="229">
        <f t="shared" ref="I66:I71" si="2">H66+G66</f>
        <v>0</v>
      </c>
      <c r="J66" s="229">
        <f t="shared" ref="J66:J71" si="3">I66*F66</f>
        <v>0</v>
      </c>
      <c r="K66" s="464"/>
    </row>
    <row r="67" spans="1:11" s="119" customFormat="1" ht="14.15" customHeight="1" x14ac:dyDescent="0.25">
      <c r="A67" s="258"/>
      <c r="B67" s="464"/>
      <c r="C67" s="111" t="s">
        <v>306</v>
      </c>
      <c r="D67" s="117" t="s">
        <v>307</v>
      </c>
      <c r="E67" s="116" t="s">
        <v>108</v>
      </c>
      <c r="F67" s="111">
        <v>20</v>
      </c>
      <c r="G67" s="469"/>
      <c r="H67" s="469"/>
      <c r="I67" s="229">
        <f t="shared" si="2"/>
        <v>0</v>
      </c>
      <c r="J67" s="229">
        <f t="shared" si="3"/>
        <v>0</v>
      </c>
      <c r="K67" s="464"/>
    </row>
    <row r="68" spans="1:11" s="119" customFormat="1" ht="14.15" customHeight="1" x14ac:dyDescent="0.25">
      <c r="A68" s="258"/>
      <c r="B68" s="464"/>
      <c r="C68" s="111" t="s">
        <v>308</v>
      </c>
      <c r="D68" s="117" t="s">
        <v>309</v>
      </c>
      <c r="E68" s="116" t="s">
        <v>108</v>
      </c>
      <c r="F68" s="111">
        <v>20</v>
      </c>
      <c r="G68" s="469"/>
      <c r="H68" s="469"/>
      <c r="I68" s="229">
        <f t="shared" si="2"/>
        <v>0</v>
      </c>
      <c r="J68" s="229">
        <f t="shared" si="3"/>
        <v>0</v>
      </c>
      <c r="K68" s="464"/>
    </row>
    <row r="69" spans="1:11" s="119" customFormat="1" ht="28" customHeight="1" x14ac:dyDescent="0.25">
      <c r="A69" s="258"/>
      <c r="B69" s="464"/>
      <c r="C69" s="111" t="s">
        <v>310</v>
      </c>
      <c r="D69" s="118" t="s">
        <v>311</v>
      </c>
      <c r="E69" s="116" t="s">
        <v>108</v>
      </c>
      <c r="F69" s="111">
        <v>20</v>
      </c>
      <c r="G69" s="469"/>
      <c r="H69" s="469"/>
      <c r="I69" s="229">
        <f t="shared" si="2"/>
        <v>0</v>
      </c>
      <c r="J69" s="229">
        <f t="shared" si="3"/>
        <v>0</v>
      </c>
      <c r="K69" s="464"/>
    </row>
    <row r="70" spans="1:11" s="119" customFormat="1" ht="28" customHeight="1" x14ac:dyDescent="0.25">
      <c r="A70" s="258"/>
      <c r="B70" s="464"/>
      <c r="C70" s="111" t="s">
        <v>312</v>
      </c>
      <c r="D70" s="118" t="s">
        <v>313</v>
      </c>
      <c r="E70" s="116" t="s">
        <v>108</v>
      </c>
      <c r="F70" s="111">
        <v>20</v>
      </c>
      <c r="G70" s="469"/>
      <c r="H70" s="469"/>
      <c r="I70" s="229">
        <f t="shared" si="2"/>
        <v>0</v>
      </c>
      <c r="J70" s="229">
        <f t="shared" si="3"/>
        <v>0</v>
      </c>
      <c r="K70" s="464"/>
    </row>
    <row r="71" spans="1:11" s="119" customFormat="1" ht="28" customHeight="1" x14ac:dyDescent="0.25">
      <c r="A71" s="258"/>
      <c r="B71" s="464"/>
      <c r="C71" s="111" t="s">
        <v>314</v>
      </c>
      <c r="D71" s="117" t="s">
        <v>315</v>
      </c>
      <c r="E71" s="116" t="s">
        <v>108</v>
      </c>
      <c r="F71" s="111">
        <v>20</v>
      </c>
      <c r="G71" s="469"/>
      <c r="H71" s="469"/>
      <c r="I71" s="229">
        <f t="shared" si="2"/>
        <v>0</v>
      </c>
      <c r="J71" s="229">
        <f t="shared" si="3"/>
        <v>0</v>
      </c>
      <c r="K71" s="464"/>
    </row>
    <row r="72" spans="1:11" s="119" customFormat="1" ht="16.5" customHeight="1" thickBot="1" x14ac:dyDescent="0.35">
      <c r="A72" s="258"/>
      <c r="B72" s="464"/>
      <c r="C72" s="138">
        <v>6</v>
      </c>
      <c r="D72" s="141" t="s">
        <v>316</v>
      </c>
      <c r="E72" s="232" t="s">
        <v>61</v>
      </c>
      <c r="F72" s="232" t="s">
        <v>62</v>
      </c>
      <c r="G72" s="500" t="s">
        <v>63</v>
      </c>
      <c r="H72" s="500" t="s">
        <v>64</v>
      </c>
      <c r="I72" s="501" t="s">
        <v>65</v>
      </c>
      <c r="J72" s="501" t="s">
        <v>66</v>
      </c>
      <c r="K72" s="464"/>
    </row>
    <row r="73" spans="1:11" s="119" customFormat="1" ht="28.5" customHeight="1" thickTop="1" x14ac:dyDescent="0.25">
      <c r="A73" s="258"/>
      <c r="B73" s="464"/>
      <c r="C73" s="113"/>
      <c r="D73" s="125"/>
      <c r="E73" s="156" t="s">
        <v>35</v>
      </c>
      <c r="F73" s="156" t="s">
        <v>36</v>
      </c>
      <c r="G73" s="485" t="s">
        <v>325</v>
      </c>
      <c r="H73" s="486" t="s">
        <v>252</v>
      </c>
      <c r="I73" s="487" t="s">
        <v>253</v>
      </c>
      <c r="J73" s="503" t="s">
        <v>254</v>
      </c>
      <c r="K73" s="464"/>
    </row>
    <row r="74" spans="1:11" s="119" customFormat="1" ht="42" customHeight="1" x14ac:dyDescent="0.25">
      <c r="A74" s="258"/>
      <c r="B74" s="464"/>
      <c r="C74" s="111">
        <v>6.1</v>
      </c>
      <c r="D74" s="117" t="s">
        <v>317</v>
      </c>
      <c r="E74" s="116" t="s">
        <v>42</v>
      </c>
      <c r="F74" s="111">
        <v>1</v>
      </c>
      <c r="G74" s="469"/>
      <c r="H74" s="469"/>
      <c r="I74" s="229">
        <f>H74+G74</f>
        <v>0</v>
      </c>
      <c r="J74" s="229">
        <f>I74*F74</f>
        <v>0</v>
      </c>
      <c r="K74" s="464"/>
    </row>
    <row r="75" spans="1:11" s="119" customFormat="1" ht="14.15" customHeight="1" x14ac:dyDescent="0.25">
      <c r="A75" s="258"/>
      <c r="B75" s="464"/>
      <c r="C75" s="111">
        <v>6.2</v>
      </c>
      <c r="D75" s="117" t="s">
        <v>318</v>
      </c>
      <c r="E75" s="116" t="s">
        <v>42</v>
      </c>
      <c r="F75" s="111">
        <v>1</v>
      </c>
      <c r="G75" s="469"/>
      <c r="H75" s="469"/>
      <c r="I75" s="229">
        <f>H75+G75</f>
        <v>0</v>
      </c>
      <c r="J75" s="229">
        <f>I75*F75</f>
        <v>0</v>
      </c>
      <c r="K75" s="464"/>
    </row>
    <row r="76" spans="1:11" s="119" customFormat="1" ht="14.15" customHeight="1" x14ac:dyDescent="0.25">
      <c r="A76" s="258"/>
      <c r="B76" s="464"/>
      <c r="C76" s="111">
        <v>6.3</v>
      </c>
      <c r="D76" s="117" t="s">
        <v>319</v>
      </c>
      <c r="E76" s="116" t="s">
        <v>42</v>
      </c>
      <c r="F76" s="111">
        <v>1</v>
      </c>
      <c r="G76" s="469"/>
      <c r="H76" s="469"/>
      <c r="I76" s="229">
        <f>H76+G76</f>
        <v>0</v>
      </c>
      <c r="J76" s="229">
        <f>I76*F76</f>
        <v>0</v>
      </c>
      <c r="K76" s="464"/>
    </row>
    <row r="77" spans="1:11" s="119" customFormat="1" ht="14.15" customHeight="1" x14ac:dyDescent="0.25">
      <c r="A77" s="258"/>
      <c r="B77" s="464"/>
      <c r="C77" s="111">
        <v>6.4</v>
      </c>
      <c r="D77" s="117" t="s">
        <v>320</v>
      </c>
      <c r="E77" s="116" t="s">
        <v>42</v>
      </c>
      <c r="F77" s="111">
        <v>1</v>
      </c>
      <c r="G77" s="469"/>
      <c r="H77" s="469"/>
      <c r="I77" s="229">
        <f>H77+G77</f>
        <v>0</v>
      </c>
      <c r="J77" s="229">
        <f>I77*F77</f>
        <v>0</v>
      </c>
      <c r="K77" s="464"/>
    </row>
    <row r="78" spans="1:11" s="119" customFormat="1" ht="14.15" customHeight="1" x14ac:dyDescent="0.25">
      <c r="A78" s="258"/>
      <c r="B78" s="464"/>
      <c r="C78" s="138">
        <v>7</v>
      </c>
      <c r="D78" s="141" t="s">
        <v>321</v>
      </c>
      <c r="E78" s="225"/>
      <c r="F78" s="225"/>
      <c r="G78" s="504"/>
      <c r="H78" s="504"/>
      <c r="I78" s="226"/>
      <c r="J78" s="226"/>
      <c r="K78" s="464"/>
    </row>
    <row r="79" spans="1:11" s="119" customFormat="1" ht="30.65" customHeight="1" thickBot="1" x14ac:dyDescent="0.3">
      <c r="A79" s="258"/>
      <c r="B79" s="464"/>
      <c r="C79" s="111">
        <v>7.1</v>
      </c>
      <c r="D79" s="117" t="s">
        <v>450</v>
      </c>
      <c r="E79" s="111" t="s">
        <v>42</v>
      </c>
      <c r="F79" s="111">
        <v>1</v>
      </c>
      <c r="G79" s="469"/>
      <c r="H79" s="469"/>
      <c r="I79" s="229">
        <f>H79+G79</f>
        <v>0</v>
      </c>
      <c r="J79" s="231">
        <f>I79*F79</f>
        <v>0</v>
      </c>
      <c r="K79" s="464"/>
    </row>
    <row r="80" spans="1:11" s="119" customFormat="1" ht="18.75" customHeight="1" thickBot="1" x14ac:dyDescent="0.3">
      <c r="A80" s="258"/>
      <c r="B80" s="464"/>
      <c r="C80" s="111"/>
      <c r="D80" s="230" t="s">
        <v>360</v>
      </c>
      <c r="E80" s="544"/>
      <c r="F80" s="545"/>
      <c r="G80" s="546"/>
      <c r="H80" s="546"/>
      <c r="I80" s="545"/>
      <c r="J80" s="240">
        <f>SUM(J14:J79)</f>
        <v>0</v>
      </c>
      <c r="K80" s="464"/>
    </row>
    <row r="81" spans="1:11" s="162" customFormat="1" ht="28.5" customHeight="1" thickBot="1" x14ac:dyDescent="0.3">
      <c r="A81" s="258"/>
      <c r="B81" s="258"/>
      <c r="C81" s="641" t="s">
        <v>458</v>
      </c>
      <c r="D81" s="533"/>
      <c r="E81" s="533"/>
      <c r="F81" s="533"/>
      <c r="G81" s="533"/>
      <c r="H81" s="533"/>
      <c r="I81" s="533"/>
      <c r="J81" s="534"/>
      <c r="K81" s="258"/>
    </row>
    <row r="82" spans="1:11" ht="18.75" customHeight="1" x14ac:dyDescent="0.25">
      <c r="A82" s="258"/>
      <c r="B82" s="258"/>
      <c r="C82" s="535" t="s">
        <v>459</v>
      </c>
      <c r="D82" s="536"/>
      <c r="E82" s="536"/>
      <c r="F82" s="536"/>
      <c r="G82" s="536"/>
      <c r="H82" s="536"/>
      <c r="I82" s="536"/>
      <c r="J82" s="537"/>
      <c r="K82" s="258"/>
    </row>
    <row r="83" spans="1:11" s="8" customFormat="1" ht="18.75" customHeight="1" x14ac:dyDescent="0.25">
      <c r="A83" s="258"/>
      <c r="B83" s="492"/>
      <c r="C83" s="538"/>
      <c r="D83" s="539"/>
      <c r="E83" s="539"/>
      <c r="F83" s="539"/>
      <c r="G83" s="539"/>
      <c r="H83" s="539"/>
      <c r="I83" s="539"/>
      <c r="J83" s="540"/>
      <c r="K83" s="492"/>
    </row>
    <row r="84" spans="1:11" s="8" customFormat="1" ht="18.75" customHeight="1" x14ac:dyDescent="0.25">
      <c r="A84" s="258"/>
      <c r="B84" s="492"/>
      <c r="C84" s="538"/>
      <c r="D84" s="539"/>
      <c r="E84" s="539"/>
      <c r="F84" s="539"/>
      <c r="G84" s="539"/>
      <c r="H84" s="539"/>
      <c r="I84" s="539"/>
      <c r="J84" s="540"/>
      <c r="K84" s="492"/>
    </row>
    <row r="85" spans="1:11" s="8" customFormat="1" ht="18.75" customHeight="1" x14ac:dyDescent="0.25">
      <c r="A85" s="258"/>
      <c r="B85" s="492"/>
      <c r="C85" s="538"/>
      <c r="D85" s="539"/>
      <c r="E85" s="539"/>
      <c r="F85" s="539"/>
      <c r="G85" s="539"/>
      <c r="H85" s="539"/>
      <c r="I85" s="539"/>
      <c r="J85" s="540"/>
      <c r="K85" s="492"/>
    </row>
    <row r="86" spans="1:11" s="8" customFormat="1" ht="93" customHeight="1" thickBot="1" x14ac:dyDescent="0.3">
      <c r="A86" s="258"/>
      <c r="B86" s="492"/>
      <c r="C86" s="541"/>
      <c r="D86" s="542"/>
      <c r="E86" s="542"/>
      <c r="F86" s="542"/>
      <c r="G86" s="542"/>
      <c r="H86" s="542"/>
      <c r="I86" s="542"/>
      <c r="J86" s="543"/>
      <c r="K86" s="492"/>
    </row>
    <row r="87" spans="1:11" s="8" customFormat="1" ht="18.75" customHeight="1" x14ac:dyDescent="0.25">
      <c r="A87" s="258"/>
      <c r="B87" s="492"/>
      <c r="C87" s="35"/>
      <c r="D87" s="45"/>
      <c r="E87" s="35"/>
      <c r="F87" s="35"/>
      <c r="G87" s="258"/>
      <c r="H87" s="258"/>
      <c r="I87" s="295"/>
      <c r="J87" s="295"/>
      <c r="K87" s="492"/>
    </row>
    <row r="88" spans="1:11" s="8" customFormat="1" ht="18.75" customHeight="1" x14ac:dyDescent="0.25">
      <c r="A88" s="258"/>
      <c r="B88" s="492"/>
      <c r="C88" s="35"/>
      <c r="D88" s="45"/>
      <c r="E88" s="35"/>
      <c r="F88" s="35"/>
      <c r="G88" s="258"/>
      <c r="H88" s="258"/>
      <c r="I88" s="295"/>
      <c r="J88" s="295"/>
      <c r="K88" s="492"/>
    </row>
    <row r="89" spans="1:11" s="8" customFormat="1" ht="18.75" customHeight="1" x14ac:dyDescent="0.25">
      <c r="A89" s="258"/>
      <c r="B89" s="492"/>
      <c r="C89" s="35"/>
      <c r="D89" s="45"/>
      <c r="E89" s="35"/>
      <c r="F89" s="35"/>
      <c r="G89" s="258"/>
      <c r="H89" s="258"/>
      <c r="I89" s="295"/>
      <c r="J89" s="295"/>
      <c r="K89" s="492"/>
    </row>
    <row r="90" spans="1:11" s="8" customFormat="1" ht="18.75" customHeight="1" x14ac:dyDescent="0.25">
      <c r="A90" s="258"/>
      <c r="B90" s="492"/>
      <c r="C90" s="35"/>
      <c r="D90" s="45"/>
      <c r="E90" s="35"/>
      <c r="F90" s="35"/>
      <c r="G90" s="258"/>
      <c r="H90" s="258"/>
      <c r="I90" s="295"/>
      <c r="J90" s="295"/>
      <c r="K90" s="492"/>
    </row>
    <row r="91" spans="1:11" s="8" customFormat="1" ht="18.75" customHeight="1" x14ac:dyDescent="0.25">
      <c r="A91" s="258"/>
      <c r="B91" s="492"/>
      <c r="C91" s="35"/>
      <c r="D91" s="45"/>
      <c r="E91" s="35"/>
      <c r="F91" s="35"/>
      <c r="G91" s="258"/>
      <c r="H91" s="258"/>
      <c r="I91" s="295"/>
      <c r="J91" s="295"/>
      <c r="K91" s="492"/>
    </row>
  </sheetData>
  <sheetProtection algorithmName="SHA-512" hashValue="98BgDP+vPrsz67x5rN5iyelbP1HXfOmp0ZXfowk4bfCj2Fh5JSNFcwJuuzemeZYTtPYPFAvvqx65WIpinc/+4w==" saltValue="rvMVnQNdUjqM966NQ3N3lw==" spinCount="100000" sheet="1" objects="1" scenarios="1"/>
  <mergeCells count="12">
    <mergeCell ref="C81:J81"/>
    <mergeCell ref="C82:J86"/>
    <mergeCell ref="H1:J4"/>
    <mergeCell ref="E80:I80"/>
    <mergeCell ref="C7:J7"/>
    <mergeCell ref="E9:J11"/>
    <mergeCell ref="C5:J5"/>
    <mergeCell ref="E39:J40"/>
    <mergeCell ref="C6:J6"/>
    <mergeCell ref="E65:J65"/>
    <mergeCell ref="E51:J52"/>
    <mergeCell ref="E46:J47"/>
  </mergeCells>
  <pageMargins left="0" right="0" top="0" bottom="0" header="0.31496062992125978" footer="0.31496062992125978"/>
  <pageSetup paperSize="9" scale="55" fitToHeight="0"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rowBreaks count="1" manualBreakCount="1">
    <brk id="29" min="1" max="10"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249977111117893"/>
  </sheetPr>
  <dimension ref="A1:L91"/>
  <sheetViews>
    <sheetView view="pageBreakPreview" topLeftCell="A33" zoomScale="55" zoomScaleNormal="80" zoomScaleSheetLayoutView="55" workbookViewId="0">
      <selection activeCell="H1" sqref="H1:J5"/>
    </sheetView>
  </sheetViews>
  <sheetFormatPr defaultColWidth="8.54296875" defaultRowHeight="12.5" x14ac:dyDescent="0.25"/>
  <cols>
    <col min="2" max="2" width="2.54296875" style="162" customWidth="1"/>
    <col min="3" max="3" width="10.1796875" style="35" customWidth="1"/>
    <col min="4" max="4" width="81.453125" style="45" customWidth="1"/>
    <col min="5" max="5" width="7.54296875" style="35" customWidth="1"/>
    <col min="6" max="6" width="14.453125" style="35" customWidth="1"/>
    <col min="7" max="7" width="16.453125" style="8" customWidth="1"/>
    <col min="8" max="8" width="13.81640625" style="8" customWidth="1"/>
    <col min="9" max="9" width="15.54296875" style="295" customWidth="1"/>
    <col min="10" max="10" width="16.81640625" style="295" bestFit="1" customWidth="1"/>
    <col min="11" max="11" width="3" style="162" customWidth="1"/>
  </cols>
  <sheetData>
    <row r="1" spans="1:12" x14ac:dyDescent="0.25">
      <c r="H1" s="530" t="e" vm="1">
        <v>#VALUE!</v>
      </c>
      <c r="I1" s="530"/>
      <c r="J1" s="530"/>
    </row>
    <row r="2" spans="1:12" x14ac:dyDescent="0.25">
      <c r="H2" s="530"/>
      <c r="I2" s="530"/>
      <c r="J2" s="530"/>
    </row>
    <row r="3" spans="1:12" x14ac:dyDescent="0.25">
      <c r="H3" s="530"/>
      <c r="I3" s="530"/>
      <c r="J3" s="530"/>
    </row>
    <row r="4" spans="1:12" x14ac:dyDescent="0.25">
      <c r="H4" s="530"/>
      <c r="I4" s="530"/>
      <c r="J4" s="530"/>
    </row>
    <row r="5" spans="1:12" x14ac:dyDescent="0.25">
      <c r="H5" s="531"/>
      <c r="I5" s="531"/>
      <c r="J5" s="531"/>
    </row>
    <row r="6" spans="1:12" ht="15.65" customHeight="1" x14ac:dyDescent="0.35">
      <c r="A6" s="258"/>
      <c r="B6" s="258"/>
      <c r="C6" s="551" t="s">
        <v>0</v>
      </c>
      <c r="D6" s="545"/>
      <c r="E6" s="545"/>
      <c r="F6" s="545"/>
      <c r="G6" s="546"/>
      <c r="H6" s="546"/>
      <c r="I6" s="545"/>
      <c r="J6" s="552"/>
      <c r="K6" s="459"/>
      <c r="L6" s="299"/>
    </row>
    <row r="7" spans="1:12" ht="15.65" customHeight="1" x14ac:dyDescent="0.35">
      <c r="A7" s="258"/>
      <c r="B7" s="258"/>
      <c r="C7" s="566" t="str">
        <f>'SECTION 1-P&amp;G'!C8</f>
        <v>ACSA KSIA POWER FACTOR CORRECTION UPGRADE</v>
      </c>
      <c r="D7" s="545"/>
      <c r="E7" s="545"/>
      <c r="F7" s="545"/>
      <c r="G7" s="546"/>
      <c r="H7" s="546"/>
      <c r="I7" s="545"/>
      <c r="J7" s="552"/>
      <c r="K7" s="459"/>
      <c r="L7" s="299"/>
    </row>
    <row r="8" spans="1:12" ht="16" customHeight="1" thickBot="1" x14ac:dyDescent="0.4">
      <c r="A8" s="258"/>
      <c r="B8" s="258"/>
      <c r="C8" s="615" t="s">
        <v>376</v>
      </c>
      <c r="D8" s="545"/>
      <c r="E8" s="545"/>
      <c r="F8" s="545"/>
      <c r="G8" s="546"/>
      <c r="H8" s="546"/>
      <c r="I8" s="545"/>
      <c r="J8" s="552"/>
      <c r="K8" s="459"/>
      <c r="L8" s="299"/>
    </row>
    <row r="9" spans="1:12" ht="45.75" customHeight="1" thickTop="1" x14ac:dyDescent="0.25">
      <c r="A9" s="258"/>
      <c r="B9" s="258"/>
      <c r="C9" s="198" t="s">
        <v>324</v>
      </c>
      <c r="D9" s="197" t="s">
        <v>4</v>
      </c>
      <c r="E9" s="33" t="s">
        <v>35</v>
      </c>
      <c r="F9" s="33" t="s">
        <v>36</v>
      </c>
      <c r="G9" s="314" t="s">
        <v>325</v>
      </c>
      <c r="H9" s="317" t="s">
        <v>252</v>
      </c>
      <c r="I9" s="480" t="s">
        <v>253</v>
      </c>
      <c r="J9" s="493" t="s">
        <v>254</v>
      </c>
      <c r="K9" s="258"/>
      <c r="L9" s="258"/>
    </row>
    <row r="10" spans="1:12" ht="27.65" customHeight="1" x14ac:dyDescent="0.25">
      <c r="A10" s="258"/>
      <c r="B10" s="258"/>
      <c r="C10" s="138"/>
      <c r="D10" s="158" t="s">
        <v>247</v>
      </c>
      <c r="E10" s="554"/>
      <c r="F10" s="555"/>
      <c r="G10" s="556"/>
      <c r="H10" s="556"/>
      <c r="I10" s="555"/>
      <c r="J10" s="557"/>
      <c r="K10" s="258"/>
      <c r="L10" s="258"/>
    </row>
    <row r="11" spans="1:12" ht="28" customHeight="1" x14ac:dyDescent="0.3">
      <c r="A11" s="258"/>
      <c r="B11" s="258"/>
      <c r="C11" s="113"/>
      <c r="D11" s="110" t="s">
        <v>248</v>
      </c>
      <c r="E11" s="558"/>
      <c r="F11" s="559"/>
      <c r="G11" s="560"/>
      <c r="H11" s="560"/>
      <c r="I11" s="530"/>
      <c r="J11" s="561"/>
      <c r="K11" s="258"/>
      <c r="L11" s="258"/>
    </row>
    <row r="12" spans="1:12" ht="28" customHeight="1" x14ac:dyDescent="0.3">
      <c r="A12" s="258"/>
      <c r="B12" s="258"/>
      <c r="C12" s="113"/>
      <c r="D12" s="110" t="s">
        <v>249</v>
      </c>
      <c r="E12" s="562"/>
      <c r="F12" s="563"/>
      <c r="G12" s="564"/>
      <c r="H12" s="564"/>
      <c r="I12" s="563"/>
      <c r="J12" s="565"/>
      <c r="K12" s="258"/>
      <c r="L12" s="258"/>
    </row>
    <row r="13" spans="1:12" s="119" customFormat="1" ht="16.5" customHeight="1" thickBot="1" x14ac:dyDescent="0.35">
      <c r="A13" s="258"/>
      <c r="B13" s="464"/>
      <c r="C13" s="138">
        <v>1</v>
      </c>
      <c r="D13" s="141" t="s">
        <v>250</v>
      </c>
      <c r="E13" s="232" t="s">
        <v>61</v>
      </c>
      <c r="F13" s="232" t="s">
        <v>62</v>
      </c>
      <c r="G13" s="500" t="s">
        <v>63</v>
      </c>
      <c r="H13" s="500" t="s">
        <v>64</v>
      </c>
      <c r="I13" s="501" t="s">
        <v>65</v>
      </c>
      <c r="J13" s="501" t="s">
        <v>66</v>
      </c>
      <c r="K13" s="464"/>
      <c r="L13" s="258"/>
    </row>
    <row r="14" spans="1:12" s="119" customFormat="1" ht="35.15" customHeight="1" thickTop="1" x14ac:dyDescent="0.25">
      <c r="A14" s="258"/>
      <c r="B14" s="464"/>
      <c r="C14" s="138"/>
      <c r="D14" s="141"/>
      <c r="E14" s="156" t="s">
        <v>35</v>
      </c>
      <c r="F14" s="156" t="s">
        <v>36</v>
      </c>
      <c r="G14" s="485" t="s">
        <v>325</v>
      </c>
      <c r="H14" s="486" t="s">
        <v>252</v>
      </c>
      <c r="I14" s="487" t="s">
        <v>253</v>
      </c>
      <c r="J14" s="503" t="s">
        <v>254</v>
      </c>
      <c r="K14" s="464"/>
      <c r="L14" s="258"/>
    </row>
    <row r="15" spans="1:12" s="119" customFormat="1" ht="92.15" customHeight="1" x14ac:dyDescent="0.25">
      <c r="A15" s="258"/>
      <c r="B15" s="464"/>
      <c r="C15" s="111">
        <v>1.1000000000000001</v>
      </c>
      <c r="D15" s="118" t="s">
        <v>377</v>
      </c>
      <c r="E15" s="116" t="s">
        <v>42</v>
      </c>
      <c r="F15" s="111">
        <v>1</v>
      </c>
      <c r="G15" s="469"/>
      <c r="H15" s="469"/>
      <c r="I15" s="229">
        <f t="shared" ref="I15:I20" si="0">H15+G15</f>
        <v>0</v>
      </c>
      <c r="J15" s="229">
        <f t="shared" ref="J15:J20" si="1">I15*F15</f>
        <v>0</v>
      </c>
      <c r="K15" s="464"/>
      <c r="L15" s="258"/>
    </row>
    <row r="16" spans="1:12" s="119" customFormat="1" ht="100.4" customHeight="1" x14ac:dyDescent="0.25">
      <c r="A16" s="258"/>
      <c r="B16" s="464"/>
      <c r="C16" s="111">
        <v>1.2</v>
      </c>
      <c r="D16" s="118" t="s">
        <v>378</v>
      </c>
      <c r="E16" s="116" t="s">
        <v>42</v>
      </c>
      <c r="F16" s="111">
        <v>1</v>
      </c>
      <c r="G16" s="469"/>
      <c r="H16" s="469"/>
      <c r="I16" s="229">
        <f t="shared" si="0"/>
        <v>0</v>
      </c>
      <c r="J16" s="229">
        <f t="shared" si="1"/>
        <v>0</v>
      </c>
      <c r="K16" s="464"/>
      <c r="L16" s="258"/>
    </row>
    <row r="17" spans="1:12" s="119" customFormat="1" ht="86.5" customHeight="1" x14ac:dyDescent="0.25">
      <c r="A17" s="258"/>
      <c r="B17" s="464"/>
      <c r="C17" s="111">
        <v>1.3</v>
      </c>
      <c r="D17" s="118" t="s">
        <v>379</v>
      </c>
      <c r="E17" s="116" t="s">
        <v>42</v>
      </c>
      <c r="F17" s="111">
        <v>1</v>
      </c>
      <c r="G17" s="469"/>
      <c r="H17" s="469"/>
      <c r="I17" s="229">
        <f t="shared" si="0"/>
        <v>0</v>
      </c>
      <c r="J17" s="229">
        <f t="shared" si="1"/>
        <v>0</v>
      </c>
      <c r="K17" s="464"/>
      <c r="L17" s="258"/>
    </row>
    <row r="18" spans="1:12" s="119" customFormat="1" ht="96" customHeight="1" x14ac:dyDescent="0.25">
      <c r="A18" s="258"/>
      <c r="B18" s="464"/>
      <c r="C18" s="111">
        <v>1.4</v>
      </c>
      <c r="D18" s="118" t="s">
        <v>380</v>
      </c>
      <c r="E18" s="116" t="s">
        <v>42</v>
      </c>
      <c r="F18" s="111">
        <v>1</v>
      </c>
      <c r="G18" s="469"/>
      <c r="H18" s="469"/>
      <c r="I18" s="229">
        <f t="shared" si="0"/>
        <v>0</v>
      </c>
      <c r="J18" s="229">
        <f t="shared" si="1"/>
        <v>0</v>
      </c>
      <c r="K18" s="464"/>
      <c r="L18" s="258"/>
    </row>
    <row r="19" spans="1:12" s="119" customFormat="1" ht="92.15" customHeight="1" x14ac:dyDescent="0.25">
      <c r="A19" s="258"/>
      <c r="B19" s="464"/>
      <c r="C19" s="111">
        <v>1.5</v>
      </c>
      <c r="D19" s="118" t="s">
        <v>381</v>
      </c>
      <c r="E19" s="116" t="s">
        <v>42</v>
      </c>
      <c r="F19" s="111">
        <v>1</v>
      </c>
      <c r="G19" s="469"/>
      <c r="H19" s="469"/>
      <c r="I19" s="229">
        <f t="shared" si="0"/>
        <v>0</v>
      </c>
      <c r="J19" s="229">
        <f t="shared" si="1"/>
        <v>0</v>
      </c>
      <c r="K19" s="464"/>
      <c r="L19" s="258"/>
    </row>
    <row r="20" spans="1:12" s="119" customFormat="1" ht="100.4" customHeight="1" x14ac:dyDescent="0.25">
      <c r="A20" s="258"/>
      <c r="B20" s="464"/>
      <c r="C20" s="111">
        <v>1.6</v>
      </c>
      <c r="D20" s="118" t="s">
        <v>382</v>
      </c>
      <c r="E20" s="116" t="s">
        <v>42</v>
      </c>
      <c r="F20" s="111">
        <v>1</v>
      </c>
      <c r="G20" s="469"/>
      <c r="H20" s="469"/>
      <c r="I20" s="229">
        <f t="shared" si="0"/>
        <v>0</v>
      </c>
      <c r="J20" s="229">
        <f t="shared" si="1"/>
        <v>0</v>
      </c>
      <c r="K20" s="464"/>
      <c r="L20" s="258"/>
    </row>
    <row r="21" spans="1:12" ht="14.5" customHeight="1" thickBot="1" x14ac:dyDescent="0.35">
      <c r="A21" s="258"/>
      <c r="B21" s="258"/>
      <c r="C21" s="113"/>
      <c r="D21" s="112"/>
      <c r="E21" s="232" t="s">
        <v>61</v>
      </c>
      <c r="F21" s="232" t="s">
        <v>62</v>
      </c>
      <c r="G21" s="500" t="s">
        <v>63</v>
      </c>
      <c r="H21" s="500" t="s">
        <v>64</v>
      </c>
      <c r="I21" s="501" t="s">
        <v>65</v>
      </c>
      <c r="J21" s="501" t="s">
        <v>66</v>
      </c>
      <c r="K21" s="258"/>
      <c r="L21" s="258"/>
    </row>
    <row r="22" spans="1:12" ht="77.5" customHeight="1" thickTop="1" x14ac:dyDescent="0.3">
      <c r="A22" s="258"/>
      <c r="B22" s="258"/>
      <c r="C22" s="138">
        <v>2</v>
      </c>
      <c r="D22" s="152" t="s">
        <v>257</v>
      </c>
      <c r="E22" s="156" t="s">
        <v>35</v>
      </c>
      <c r="F22" s="156" t="s">
        <v>36</v>
      </c>
      <c r="G22" s="485" t="s">
        <v>325</v>
      </c>
      <c r="H22" s="486" t="s">
        <v>252</v>
      </c>
      <c r="I22" s="487" t="s">
        <v>253</v>
      </c>
      <c r="J22" s="503" t="s">
        <v>254</v>
      </c>
      <c r="K22" s="258"/>
      <c r="L22" s="258"/>
    </row>
    <row r="23" spans="1:12" s="119" customFormat="1" ht="93.65" customHeight="1" x14ac:dyDescent="0.25">
      <c r="A23" s="258"/>
      <c r="B23" s="464"/>
      <c r="C23" s="113">
        <v>2.1</v>
      </c>
      <c r="D23" s="139" t="s">
        <v>383</v>
      </c>
      <c r="E23" s="111" t="s">
        <v>90</v>
      </c>
      <c r="F23" s="233">
        <v>4</v>
      </c>
      <c r="G23" s="469"/>
      <c r="H23" s="469"/>
      <c r="I23" s="229">
        <f t="shared" ref="I23:I34" si="2">H23+G23</f>
        <v>0</v>
      </c>
      <c r="J23" s="229">
        <f>I23*F23</f>
        <v>0</v>
      </c>
      <c r="K23" s="464"/>
      <c r="L23" s="258"/>
    </row>
    <row r="24" spans="1:12" s="119" customFormat="1" ht="93.65" customHeight="1" x14ac:dyDescent="0.25">
      <c r="A24" s="258"/>
      <c r="B24" s="464"/>
      <c r="C24" s="113">
        <v>2.2000000000000002</v>
      </c>
      <c r="D24" s="139" t="s">
        <v>384</v>
      </c>
      <c r="E24" s="111" t="s">
        <v>328</v>
      </c>
      <c r="F24" s="111" t="s">
        <v>261</v>
      </c>
      <c r="G24" s="469"/>
      <c r="H24" s="469"/>
      <c r="I24" s="229">
        <f t="shared" si="2"/>
        <v>0</v>
      </c>
      <c r="J24" s="154"/>
      <c r="K24" s="464"/>
      <c r="L24" s="258"/>
    </row>
    <row r="25" spans="1:12" s="119" customFormat="1" ht="85.5" customHeight="1" x14ac:dyDescent="0.25">
      <c r="A25" s="258"/>
      <c r="B25" s="464"/>
      <c r="C25" s="113">
        <v>2.2999999999999998</v>
      </c>
      <c r="D25" s="139" t="s">
        <v>385</v>
      </c>
      <c r="E25" s="111" t="s">
        <v>328</v>
      </c>
      <c r="F25" s="111" t="s">
        <v>261</v>
      </c>
      <c r="G25" s="469"/>
      <c r="H25" s="469"/>
      <c r="I25" s="229">
        <f t="shared" si="2"/>
        <v>0</v>
      </c>
      <c r="J25" s="154"/>
      <c r="K25" s="464"/>
      <c r="L25" s="258"/>
    </row>
    <row r="26" spans="1:12" s="119" customFormat="1" ht="84" customHeight="1" x14ac:dyDescent="0.25">
      <c r="A26" s="258"/>
      <c r="B26" s="464"/>
      <c r="C26" s="113">
        <v>2.4</v>
      </c>
      <c r="D26" s="139" t="s">
        <v>386</v>
      </c>
      <c r="E26" s="111" t="s">
        <v>328</v>
      </c>
      <c r="F26" s="111" t="s">
        <v>261</v>
      </c>
      <c r="G26" s="469"/>
      <c r="H26" s="469"/>
      <c r="I26" s="229">
        <f t="shared" si="2"/>
        <v>0</v>
      </c>
      <c r="J26" s="154"/>
      <c r="K26" s="464"/>
      <c r="L26" s="258"/>
    </row>
    <row r="27" spans="1:12" s="119" customFormat="1" ht="93.65" customHeight="1" x14ac:dyDescent="0.25">
      <c r="A27" s="258"/>
      <c r="B27" s="464"/>
      <c r="C27" s="113">
        <v>2.5</v>
      </c>
      <c r="D27" s="139" t="s">
        <v>387</v>
      </c>
      <c r="E27" s="111" t="s">
        <v>90</v>
      </c>
      <c r="F27" s="111">
        <v>4</v>
      </c>
      <c r="G27" s="469"/>
      <c r="H27" s="469"/>
      <c r="I27" s="229">
        <f t="shared" si="2"/>
        <v>0</v>
      </c>
      <c r="J27" s="229">
        <f>I27*F27</f>
        <v>0</v>
      </c>
      <c r="K27" s="464"/>
      <c r="L27" s="258"/>
    </row>
    <row r="28" spans="1:12" s="119" customFormat="1" ht="84.65" customHeight="1" x14ac:dyDescent="0.25">
      <c r="A28" s="258"/>
      <c r="B28" s="464"/>
      <c r="C28" s="113">
        <v>2.6</v>
      </c>
      <c r="D28" s="139" t="s">
        <v>384</v>
      </c>
      <c r="E28" s="111" t="s">
        <v>328</v>
      </c>
      <c r="F28" s="111" t="s">
        <v>261</v>
      </c>
      <c r="G28" s="469"/>
      <c r="H28" s="469"/>
      <c r="I28" s="229">
        <f t="shared" si="2"/>
        <v>0</v>
      </c>
      <c r="J28" s="239"/>
      <c r="K28" s="464"/>
      <c r="L28" s="258"/>
    </row>
    <row r="29" spans="1:12" s="119" customFormat="1" ht="93.65" customHeight="1" x14ac:dyDescent="0.25">
      <c r="A29" s="258"/>
      <c r="B29" s="464"/>
      <c r="C29" s="113">
        <v>2.7</v>
      </c>
      <c r="D29" s="139" t="s">
        <v>385</v>
      </c>
      <c r="E29" s="111" t="s">
        <v>328</v>
      </c>
      <c r="F29" s="111" t="s">
        <v>261</v>
      </c>
      <c r="G29" s="469"/>
      <c r="H29" s="469"/>
      <c r="I29" s="229">
        <f t="shared" si="2"/>
        <v>0</v>
      </c>
      <c r="J29" s="239"/>
      <c r="K29" s="464"/>
      <c r="L29" s="258"/>
    </row>
    <row r="30" spans="1:12" s="119" customFormat="1" ht="93.65" customHeight="1" x14ac:dyDescent="0.25">
      <c r="A30" s="258"/>
      <c r="B30" s="464"/>
      <c r="C30" s="113">
        <v>2.8</v>
      </c>
      <c r="D30" s="139" t="s">
        <v>386</v>
      </c>
      <c r="E30" s="111" t="s">
        <v>328</v>
      </c>
      <c r="F30" s="111" t="s">
        <v>261</v>
      </c>
      <c r="G30" s="469"/>
      <c r="H30" s="469"/>
      <c r="I30" s="229">
        <f t="shared" si="2"/>
        <v>0</v>
      </c>
      <c r="J30" s="239"/>
      <c r="K30" s="464"/>
      <c r="L30" s="258"/>
    </row>
    <row r="31" spans="1:12" s="119" customFormat="1" ht="93.65" customHeight="1" x14ac:dyDescent="0.25">
      <c r="A31" s="258"/>
      <c r="B31" s="464"/>
      <c r="C31" s="113">
        <v>2.9</v>
      </c>
      <c r="D31" s="139" t="s">
        <v>388</v>
      </c>
      <c r="E31" s="111" t="s">
        <v>90</v>
      </c>
      <c r="F31" s="111">
        <v>2</v>
      </c>
      <c r="G31" s="469"/>
      <c r="H31" s="469"/>
      <c r="I31" s="229">
        <f t="shared" si="2"/>
        <v>0</v>
      </c>
      <c r="J31" s="229">
        <f>I31*F31</f>
        <v>0</v>
      </c>
      <c r="K31" s="464"/>
      <c r="L31" s="258"/>
    </row>
    <row r="32" spans="1:12" s="119" customFormat="1" ht="93.65" customHeight="1" x14ac:dyDescent="0.25">
      <c r="A32" s="258"/>
      <c r="B32" s="464"/>
      <c r="C32" s="155">
        <v>2.1</v>
      </c>
      <c r="D32" s="139" t="s">
        <v>343</v>
      </c>
      <c r="E32" s="111" t="s">
        <v>328</v>
      </c>
      <c r="F32" s="111" t="s">
        <v>261</v>
      </c>
      <c r="G32" s="469"/>
      <c r="H32" s="469"/>
      <c r="I32" s="229">
        <f t="shared" si="2"/>
        <v>0</v>
      </c>
      <c r="J32" s="239"/>
      <c r="K32" s="464"/>
      <c r="L32" s="258"/>
    </row>
    <row r="33" spans="1:12" s="119" customFormat="1" ht="93.65" customHeight="1" x14ac:dyDescent="0.25">
      <c r="A33" s="258"/>
      <c r="B33" s="464"/>
      <c r="C33" s="113">
        <v>2.11</v>
      </c>
      <c r="D33" s="139" t="s">
        <v>262</v>
      </c>
      <c r="E33" s="111" t="s">
        <v>328</v>
      </c>
      <c r="F33" s="111" t="s">
        <v>261</v>
      </c>
      <c r="G33" s="469"/>
      <c r="H33" s="469"/>
      <c r="I33" s="229">
        <f t="shared" si="2"/>
        <v>0</v>
      </c>
      <c r="J33" s="239"/>
      <c r="K33" s="464"/>
      <c r="L33" s="258"/>
    </row>
    <row r="34" spans="1:12" s="119" customFormat="1" ht="93.65" customHeight="1" x14ac:dyDescent="0.25">
      <c r="A34" s="258"/>
      <c r="B34" s="464"/>
      <c r="C34" s="113">
        <v>2.12</v>
      </c>
      <c r="D34" s="139" t="s">
        <v>263</v>
      </c>
      <c r="E34" s="111" t="s">
        <v>328</v>
      </c>
      <c r="F34" s="111" t="s">
        <v>261</v>
      </c>
      <c r="G34" s="469"/>
      <c r="H34" s="469"/>
      <c r="I34" s="229">
        <f t="shared" si="2"/>
        <v>0</v>
      </c>
      <c r="J34" s="239"/>
      <c r="K34" s="464"/>
      <c r="L34" s="258"/>
    </row>
    <row r="35" spans="1:12" s="119" customFormat="1" ht="14.5" customHeight="1" thickBot="1" x14ac:dyDescent="0.35">
      <c r="A35" s="258"/>
      <c r="B35" s="464"/>
      <c r="C35" s="113"/>
      <c r="D35" s="139"/>
      <c r="E35" s="232" t="s">
        <v>61</v>
      </c>
      <c r="F35" s="232" t="s">
        <v>62</v>
      </c>
      <c r="G35" s="500" t="s">
        <v>63</v>
      </c>
      <c r="H35" s="500" t="s">
        <v>64</v>
      </c>
      <c r="I35" s="501" t="s">
        <v>65</v>
      </c>
      <c r="J35" s="501" t="s">
        <v>66</v>
      </c>
      <c r="K35" s="464"/>
      <c r="L35" s="258"/>
    </row>
    <row r="36" spans="1:12" s="119" customFormat="1" ht="35.15" customHeight="1" thickTop="1" x14ac:dyDescent="0.25">
      <c r="A36" s="258"/>
      <c r="B36" s="464"/>
      <c r="C36" s="138">
        <v>3</v>
      </c>
      <c r="D36" s="141" t="s">
        <v>264</v>
      </c>
      <c r="E36" s="156" t="s">
        <v>35</v>
      </c>
      <c r="F36" s="156" t="s">
        <v>36</v>
      </c>
      <c r="G36" s="485" t="s">
        <v>325</v>
      </c>
      <c r="H36" s="486" t="s">
        <v>252</v>
      </c>
      <c r="I36" s="487" t="s">
        <v>253</v>
      </c>
      <c r="J36" s="503" t="s">
        <v>254</v>
      </c>
      <c r="K36" s="464"/>
      <c r="L36" s="258"/>
    </row>
    <row r="37" spans="1:12" s="119" customFormat="1" ht="43.5" customHeight="1" x14ac:dyDescent="0.25">
      <c r="A37" s="258"/>
      <c r="B37" s="464"/>
      <c r="C37" s="113">
        <v>3.1</v>
      </c>
      <c r="D37" s="140" t="s">
        <v>344</v>
      </c>
      <c r="E37" s="111" t="s">
        <v>328</v>
      </c>
      <c r="F37" s="122">
        <f>3*2</f>
        <v>6</v>
      </c>
      <c r="G37" s="469"/>
      <c r="H37" s="469"/>
      <c r="I37" s="229">
        <f t="shared" ref="I37:I42" si="3">H37+G37</f>
        <v>0</v>
      </c>
      <c r="J37" s="229">
        <f>I37*F37</f>
        <v>0</v>
      </c>
      <c r="K37" s="464"/>
      <c r="L37" s="258"/>
    </row>
    <row r="38" spans="1:12" s="119" customFormat="1" ht="42.75" customHeight="1" x14ac:dyDescent="0.25">
      <c r="A38" s="258"/>
      <c r="B38" s="464"/>
      <c r="C38" s="113">
        <v>3.2</v>
      </c>
      <c r="D38" s="140" t="s">
        <v>268</v>
      </c>
      <c r="E38" s="111" t="s">
        <v>328</v>
      </c>
      <c r="F38" s="122">
        <f>(4*3)*2</f>
        <v>24</v>
      </c>
      <c r="G38" s="469"/>
      <c r="H38" s="469"/>
      <c r="I38" s="229">
        <f t="shared" si="3"/>
        <v>0</v>
      </c>
      <c r="J38" s="229">
        <f>I38*F38</f>
        <v>0</v>
      </c>
      <c r="K38" s="464"/>
      <c r="L38" s="258"/>
    </row>
    <row r="39" spans="1:12" s="119" customFormat="1" ht="28" customHeight="1" x14ac:dyDescent="0.25">
      <c r="A39" s="258"/>
      <c r="B39" s="464"/>
      <c r="C39" s="113">
        <v>3.3</v>
      </c>
      <c r="D39" s="140" t="s">
        <v>265</v>
      </c>
      <c r="E39" s="111" t="s">
        <v>328</v>
      </c>
      <c r="F39" s="122" t="s">
        <v>266</v>
      </c>
      <c r="G39" s="469"/>
      <c r="H39" s="469"/>
      <c r="I39" s="229">
        <f t="shared" si="3"/>
        <v>0</v>
      </c>
      <c r="J39" s="239"/>
      <c r="K39" s="464"/>
      <c r="L39" s="258"/>
    </row>
    <row r="40" spans="1:12" s="119" customFormat="1" ht="28" customHeight="1" x14ac:dyDescent="0.25">
      <c r="A40" s="258"/>
      <c r="B40" s="464"/>
      <c r="C40" s="113">
        <v>3.4</v>
      </c>
      <c r="D40" s="140" t="s">
        <v>389</v>
      </c>
      <c r="E40" s="111" t="s">
        <v>328</v>
      </c>
      <c r="F40" s="122" t="s">
        <v>266</v>
      </c>
      <c r="G40" s="469"/>
      <c r="H40" s="469"/>
      <c r="I40" s="229">
        <f t="shared" si="3"/>
        <v>0</v>
      </c>
      <c r="J40" s="239"/>
      <c r="K40" s="464"/>
      <c r="L40" s="258"/>
    </row>
    <row r="41" spans="1:12" s="119" customFormat="1" ht="14.15" customHeight="1" x14ac:dyDescent="0.25">
      <c r="A41" s="258"/>
      <c r="B41" s="464"/>
      <c r="C41" s="113">
        <v>3.5</v>
      </c>
      <c r="D41" s="139" t="s">
        <v>269</v>
      </c>
      <c r="E41" s="122" t="s">
        <v>90</v>
      </c>
      <c r="F41" s="122">
        <f>4+4+2</f>
        <v>10</v>
      </c>
      <c r="G41" s="469"/>
      <c r="H41" s="469"/>
      <c r="I41" s="229">
        <f t="shared" si="3"/>
        <v>0</v>
      </c>
      <c r="J41" s="229">
        <f>I41*F41</f>
        <v>0</v>
      </c>
      <c r="K41" s="464"/>
      <c r="L41" s="258"/>
    </row>
    <row r="42" spans="1:12" s="119" customFormat="1" ht="150" customHeight="1" x14ac:dyDescent="0.25">
      <c r="A42" s="258"/>
      <c r="B42" s="464"/>
      <c r="C42" s="113">
        <v>3.6</v>
      </c>
      <c r="D42" s="153" t="s">
        <v>329</v>
      </c>
      <c r="E42" s="122" t="s">
        <v>90</v>
      </c>
      <c r="F42" s="122">
        <v>3</v>
      </c>
      <c r="G42" s="469"/>
      <c r="H42" s="469"/>
      <c r="I42" s="229">
        <f t="shared" si="3"/>
        <v>0</v>
      </c>
      <c r="J42" s="229">
        <f>I42*F42</f>
        <v>0</v>
      </c>
      <c r="K42" s="464"/>
      <c r="L42" s="258"/>
    </row>
    <row r="43" spans="1:12" s="119" customFormat="1" ht="16.5" customHeight="1" thickBot="1" x14ac:dyDescent="0.35">
      <c r="A43" s="258"/>
      <c r="B43" s="464"/>
      <c r="C43" s="113"/>
      <c r="D43" s="139"/>
      <c r="E43" s="232" t="s">
        <v>61</v>
      </c>
      <c r="F43" s="232" t="s">
        <v>62</v>
      </c>
      <c r="G43" s="500" t="s">
        <v>63</v>
      </c>
      <c r="H43" s="500" t="s">
        <v>64</v>
      </c>
      <c r="I43" s="501" t="s">
        <v>65</v>
      </c>
      <c r="J43" s="501" t="s">
        <v>66</v>
      </c>
      <c r="K43" s="464"/>
      <c r="L43" s="258"/>
    </row>
    <row r="44" spans="1:12" s="119" customFormat="1" ht="36.65" customHeight="1" thickTop="1" x14ac:dyDescent="0.25">
      <c r="A44" s="258"/>
      <c r="B44" s="464"/>
      <c r="C44" s="138">
        <v>4</v>
      </c>
      <c r="D44" s="141" t="s">
        <v>272</v>
      </c>
      <c r="E44" s="156" t="s">
        <v>35</v>
      </c>
      <c r="F44" s="156" t="s">
        <v>36</v>
      </c>
      <c r="G44" s="485" t="s">
        <v>325</v>
      </c>
      <c r="H44" s="486" t="s">
        <v>252</v>
      </c>
      <c r="I44" s="487" t="s">
        <v>253</v>
      </c>
      <c r="J44" s="503" t="s">
        <v>254</v>
      </c>
      <c r="K44" s="464"/>
      <c r="L44" s="258"/>
    </row>
    <row r="45" spans="1:12" s="119" customFormat="1" ht="42" customHeight="1" x14ac:dyDescent="0.25">
      <c r="A45" s="258"/>
      <c r="B45" s="464"/>
      <c r="C45" s="113">
        <v>4.0999999999999996</v>
      </c>
      <c r="D45" s="139" t="s">
        <v>347</v>
      </c>
      <c r="E45" s="111" t="s">
        <v>90</v>
      </c>
      <c r="F45" s="111">
        <v>2</v>
      </c>
      <c r="G45" s="469"/>
      <c r="H45" s="469"/>
      <c r="I45" s="229">
        <f>H45+G45</f>
        <v>0</v>
      </c>
      <c r="J45" s="229">
        <f>I45*F45</f>
        <v>0</v>
      </c>
      <c r="K45" s="464"/>
      <c r="L45" s="258"/>
    </row>
    <row r="46" spans="1:12" s="119" customFormat="1" ht="42" customHeight="1" x14ac:dyDescent="0.25">
      <c r="A46" s="258"/>
      <c r="B46" s="464"/>
      <c r="C46" s="113">
        <v>4.2</v>
      </c>
      <c r="D46" s="139" t="s">
        <v>275</v>
      </c>
      <c r="E46" s="111" t="s">
        <v>90</v>
      </c>
      <c r="F46" s="111">
        <f>4*2</f>
        <v>8</v>
      </c>
      <c r="G46" s="469"/>
      <c r="H46" s="469"/>
      <c r="I46" s="229">
        <f>H46+G46</f>
        <v>0</v>
      </c>
      <c r="J46" s="229">
        <f>I46*F46</f>
        <v>0</v>
      </c>
      <c r="K46" s="464"/>
      <c r="L46" s="258"/>
    </row>
    <row r="47" spans="1:12" s="119" customFormat="1" ht="48" customHeight="1" x14ac:dyDescent="0.25">
      <c r="A47" s="258"/>
      <c r="B47" s="464"/>
      <c r="C47" s="113">
        <v>4.3</v>
      </c>
      <c r="D47" s="139" t="s">
        <v>390</v>
      </c>
      <c r="E47" s="111" t="s">
        <v>90</v>
      </c>
      <c r="F47" s="111" t="s">
        <v>266</v>
      </c>
      <c r="G47" s="469"/>
      <c r="H47" s="469"/>
      <c r="I47" s="229">
        <f>H47+G47</f>
        <v>0</v>
      </c>
      <c r="J47" s="239"/>
      <c r="K47" s="464"/>
      <c r="L47" s="258"/>
    </row>
    <row r="48" spans="1:12" s="119" customFormat="1" ht="56.25" customHeight="1" x14ac:dyDescent="0.25">
      <c r="A48" s="258"/>
      <c r="B48" s="464"/>
      <c r="C48" s="113">
        <v>4.4000000000000004</v>
      </c>
      <c r="D48" s="139" t="s">
        <v>391</v>
      </c>
      <c r="E48" s="111" t="s">
        <v>90</v>
      </c>
      <c r="F48" s="111" t="s">
        <v>266</v>
      </c>
      <c r="G48" s="469"/>
      <c r="H48" s="469"/>
      <c r="I48" s="229">
        <f>H48+G48</f>
        <v>0</v>
      </c>
      <c r="J48" s="239"/>
      <c r="K48" s="464"/>
      <c r="L48" s="258"/>
    </row>
    <row r="49" spans="1:12" s="119" customFormat="1" ht="44.5" customHeight="1" x14ac:dyDescent="0.25">
      <c r="A49" s="258"/>
      <c r="B49" s="464"/>
      <c r="C49" s="113">
        <v>4.5</v>
      </c>
      <c r="D49" s="140" t="s">
        <v>276</v>
      </c>
      <c r="E49" s="111" t="s">
        <v>42</v>
      </c>
      <c r="F49" s="111">
        <v>3</v>
      </c>
      <c r="G49" s="469"/>
      <c r="H49" s="469"/>
      <c r="I49" s="229">
        <f>H49+G49</f>
        <v>0</v>
      </c>
      <c r="J49" s="229">
        <f>I49*F49</f>
        <v>0</v>
      </c>
      <c r="K49" s="464"/>
      <c r="L49" s="258"/>
    </row>
    <row r="50" spans="1:12" s="119" customFormat="1" ht="16.5" customHeight="1" thickBot="1" x14ac:dyDescent="0.35">
      <c r="A50" s="258"/>
      <c r="B50" s="464"/>
      <c r="C50" s="138">
        <v>5</v>
      </c>
      <c r="D50" s="141" t="s">
        <v>277</v>
      </c>
      <c r="E50" s="232" t="s">
        <v>61</v>
      </c>
      <c r="F50" s="232" t="s">
        <v>62</v>
      </c>
      <c r="G50" s="500" t="s">
        <v>63</v>
      </c>
      <c r="H50" s="500" t="s">
        <v>64</v>
      </c>
      <c r="I50" s="501" t="s">
        <v>65</v>
      </c>
      <c r="J50" s="501" t="s">
        <v>66</v>
      </c>
      <c r="K50" s="464"/>
      <c r="L50" s="258"/>
    </row>
    <row r="51" spans="1:12" s="119" customFormat="1" ht="28.5" customHeight="1" thickTop="1" x14ac:dyDescent="0.25">
      <c r="A51" s="258"/>
      <c r="B51" s="464"/>
      <c r="C51" s="113">
        <v>5.0999999999999996</v>
      </c>
      <c r="D51" s="142" t="s">
        <v>278</v>
      </c>
      <c r="E51" s="156" t="s">
        <v>35</v>
      </c>
      <c r="F51" s="156" t="s">
        <v>36</v>
      </c>
      <c r="G51" s="485" t="s">
        <v>325</v>
      </c>
      <c r="H51" s="486" t="s">
        <v>252</v>
      </c>
      <c r="I51" s="487" t="s">
        <v>253</v>
      </c>
      <c r="J51" s="503" t="s">
        <v>254</v>
      </c>
      <c r="K51" s="464"/>
      <c r="L51" s="258"/>
    </row>
    <row r="52" spans="1:12" s="119" customFormat="1" ht="28" customHeight="1" x14ac:dyDescent="0.25">
      <c r="A52" s="258"/>
      <c r="B52" s="464"/>
      <c r="C52" s="113">
        <v>5.2</v>
      </c>
      <c r="D52" s="141" t="s">
        <v>279</v>
      </c>
      <c r="E52" s="611"/>
      <c r="F52" s="555"/>
      <c r="G52" s="556"/>
      <c r="H52" s="556"/>
      <c r="I52" s="555"/>
      <c r="J52" s="557"/>
      <c r="K52" s="464"/>
      <c r="L52" s="258"/>
    </row>
    <row r="53" spans="1:12" s="119" customFormat="1" ht="42" customHeight="1" x14ac:dyDescent="0.25">
      <c r="A53" s="258"/>
      <c r="B53" s="464"/>
      <c r="C53" s="113"/>
      <c r="D53" s="115" t="s">
        <v>280</v>
      </c>
      <c r="E53" s="562"/>
      <c r="F53" s="563"/>
      <c r="G53" s="564"/>
      <c r="H53" s="564"/>
      <c r="I53" s="563"/>
      <c r="J53" s="565"/>
      <c r="K53" s="464"/>
      <c r="L53" s="258"/>
    </row>
    <row r="54" spans="1:12" s="119" customFormat="1" ht="14.15" customHeight="1" x14ac:dyDescent="0.25">
      <c r="A54" s="258"/>
      <c r="B54" s="464"/>
      <c r="C54" s="111" t="s">
        <v>281</v>
      </c>
      <c r="D54" s="117" t="s">
        <v>282</v>
      </c>
      <c r="E54" s="116" t="s">
        <v>108</v>
      </c>
      <c r="F54" s="111">
        <f>(((3*20)*4)+((2*20)*2))*1.1</f>
        <v>352</v>
      </c>
      <c r="G54" s="469"/>
      <c r="H54" s="469"/>
      <c r="I54" s="229">
        <f>H54+G54</f>
        <v>0</v>
      </c>
      <c r="J54" s="229">
        <f>I54*F54</f>
        <v>0</v>
      </c>
      <c r="K54" s="464"/>
      <c r="L54" s="258"/>
    </row>
    <row r="55" spans="1:12" s="119" customFormat="1" ht="14.15" customHeight="1" x14ac:dyDescent="0.25">
      <c r="A55" s="258"/>
      <c r="B55" s="464"/>
      <c r="C55" s="111" t="s">
        <v>283</v>
      </c>
      <c r="D55" s="117" t="s">
        <v>350</v>
      </c>
      <c r="E55" s="116" t="s">
        <v>108</v>
      </c>
      <c r="F55" s="111">
        <v>1</v>
      </c>
      <c r="G55" s="469"/>
      <c r="H55" s="469"/>
      <c r="I55" s="229">
        <f>H55+G55</f>
        <v>0</v>
      </c>
      <c r="J55" s="239"/>
      <c r="K55" s="464"/>
      <c r="L55" s="258"/>
    </row>
    <row r="56" spans="1:12" s="119" customFormat="1" ht="14.15" customHeight="1" x14ac:dyDescent="0.25">
      <c r="A56" s="258"/>
      <c r="B56" s="464"/>
      <c r="C56" s="111" t="s">
        <v>285</v>
      </c>
      <c r="D56" s="117" t="s">
        <v>286</v>
      </c>
      <c r="E56" s="116" t="s">
        <v>108</v>
      </c>
      <c r="F56" s="111">
        <f>20*3</f>
        <v>60</v>
      </c>
      <c r="G56" s="469"/>
      <c r="H56" s="469"/>
      <c r="I56" s="229">
        <f>H56+G56</f>
        <v>0</v>
      </c>
      <c r="J56" s="229">
        <f>I56*F56</f>
        <v>0</v>
      </c>
      <c r="K56" s="464"/>
      <c r="L56" s="258"/>
    </row>
    <row r="57" spans="1:12" s="119" customFormat="1" ht="14.5" customHeight="1" thickBot="1" x14ac:dyDescent="0.35">
      <c r="A57" s="258"/>
      <c r="B57" s="464"/>
      <c r="C57" s="121"/>
      <c r="D57" s="115"/>
      <c r="E57" s="232" t="s">
        <v>61</v>
      </c>
      <c r="F57" s="232" t="s">
        <v>62</v>
      </c>
      <c r="G57" s="500" t="s">
        <v>63</v>
      </c>
      <c r="H57" s="500" t="s">
        <v>64</v>
      </c>
      <c r="I57" s="501" t="s">
        <v>65</v>
      </c>
      <c r="J57" s="501" t="s">
        <v>66</v>
      </c>
      <c r="K57" s="464"/>
      <c r="L57" s="258"/>
    </row>
    <row r="58" spans="1:12" s="119" customFormat="1" ht="28.5" customHeight="1" thickTop="1" x14ac:dyDescent="0.25">
      <c r="A58" s="258"/>
      <c r="B58" s="464"/>
      <c r="C58" s="113">
        <v>5.3</v>
      </c>
      <c r="D58" s="141" t="s">
        <v>287</v>
      </c>
      <c r="E58" s="156" t="s">
        <v>35</v>
      </c>
      <c r="F58" s="156" t="s">
        <v>36</v>
      </c>
      <c r="G58" s="485" t="s">
        <v>325</v>
      </c>
      <c r="H58" s="486" t="s">
        <v>252</v>
      </c>
      <c r="I58" s="487" t="s">
        <v>253</v>
      </c>
      <c r="J58" s="503" t="s">
        <v>254</v>
      </c>
      <c r="K58" s="464"/>
      <c r="L58" s="258"/>
    </row>
    <row r="59" spans="1:12" s="119" customFormat="1" ht="14.15" customHeight="1" x14ac:dyDescent="0.25">
      <c r="A59" s="258"/>
      <c r="B59" s="464"/>
      <c r="C59" s="113"/>
      <c r="D59" s="117" t="s">
        <v>288</v>
      </c>
      <c r="E59" s="553"/>
      <c r="F59" s="545"/>
      <c r="G59" s="546"/>
      <c r="H59" s="546"/>
      <c r="I59" s="545"/>
      <c r="J59" s="552"/>
      <c r="K59" s="464"/>
      <c r="L59" s="258"/>
    </row>
    <row r="60" spans="1:12" s="119" customFormat="1" ht="14.15" customHeight="1" x14ac:dyDescent="0.25">
      <c r="A60" s="258"/>
      <c r="B60" s="464"/>
      <c r="C60" s="111" t="s">
        <v>289</v>
      </c>
      <c r="D60" s="117" t="s">
        <v>330</v>
      </c>
      <c r="E60" s="116" t="s">
        <v>108</v>
      </c>
      <c r="F60" s="144">
        <f>15*10</f>
        <v>150</v>
      </c>
      <c r="G60" s="469"/>
      <c r="H60" s="469"/>
      <c r="I60" s="229">
        <f>H60+G60</f>
        <v>0</v>
      </c>
      <c r="J60" s="229">
        <f>I60*F60</f>
        <v>0</v>
      </c>
      <c r="K60" s="464"/>
      <c r="L60" s="258"/>
    </row>
    <row r="61" spans="1:12" s="119" customFormat="1" ht="14.5" customHeight="1" thickBot="1" x14ac:dyDescent="0.35">
      <c r="A61" s="258"/>
      <c r="B61" s="464"/>
      <c r="C61" s="113">
        <v>5.4</v>
      </c>
      <c r="D61" s="141" t="s">
        <v>291</v>
      </c>
      <c r="E61" s="232" t="s">
        <v>61</v>
      </c>
      <c r="F61" s="232" t="s">
        <v>62</v>
      </c>
      <c r="G61" s="500" t="s">
        <v>63</v>
      </c>
      <c r="H61" s="500" t="s">
        <v>64</v>
      </c>
      <c r="I61" s="501" t="s">
        <v>65</v>
      </c>
      <c r="J61" s="501" t="s">
        <v>66</v>
      </c>
      <c r="K61" s="464"/>
      <c r="L61" s="258"/>
    </row>
    <row r="62" spans="1:12" s="119" customFormat="1" ht="28.5" customHeight="1" thickTop="1" x14ac:dyDescent="0.25">
      <c r="A62" s="258"/>
      <c r="B62" s="464"/>
      <c r="C62" s="113"/>
      <c r="D62" s="117" t="s">
        <v>292</v>
      </c>
      <c r="E62" s="156" t="s">
        <v>35</v>
      </c>
      <c r="F62" s="156" t="s">
        <v>36</v>
      </c>
      <c r="G62" s="485" t="s">
        <v>325</v>
      </c>
      <c r="H62" s="486" t="s">
        <v>252</v>
      </c>
      <c r="I62" s="487" t="s">
        <v>253</v>
      </c>
      <c r="J62" s="503" t="s">
        <v>254</v>
      </c>
      <c r="K62" s="464"/>
      <c r="L62" s="258"/>
    </row>
    <row r="63" spans="1:12" s="119" customFormat="1" ht="37.5" customHeight="1" x14ac:dyDescent="0.25">
      <c r="A63" s="258"/>
      <c r="B63" s="464"/>
      <c r="C63" s="121"/>
      <c r="D63" s="117" t="s">
        <v>174</v>
      </c>
      <c r="E63" s="642"/>
      <c r="F63" s="545"/>
      <c r="G63" s="546"/>
      <c r="H63" s="546"/>
      <c r="I63" s="545"/>
      <c r="J63" s="552"/>
      <c r="K63" s="464"/>
      <c r="L63" s="258"/>
    </row>
    <row r="64" spans="1:12" s="474" customFormat="1" ht="14.15" customHeight="1" x14ac:dyDescent="0.25">
      <c r="A64" s="258"/>
      <c r="B64" s="475"/>
      <c r="C64" s="111" t="s">
        <v>293</v>
      </c>
      <c r="D64" s="117" t="s">
        <v>282</v>
      </c>
      <c r="E64" s="116" t="s">
        <v>328</v>
      </c>
      <c r="F64" s="111">
        <f>(12*2*2)+(3*2*2)</f>
        <v>60</v>
      </c>
      <c r="G64" s="469"/>
      <c r="H64" s="469"/>
      <c r="I64" s="229">
        <f>H64+G64</f>
        <v>0</v>
      </c>
      <c r="J64" s="229">
        <f>I64*F64</f>
        <v>0</v>
      </c>
      <c r="K64" s="464"/>
      <c r="L64" s="476"/>
    </row>
    <row r="65" spans="1:12" s="474" customFormat="1" ht="14.15" customHeight="1" x14ac:dyDescent="0.25">
      <c r="A65" s="258"/>
      <c r="B65" s="475"/>
      <c r="C65" s="111" t="s">
        <v>294</v>
      </c>
      <c r="D65" s="117" t="s">
        <v>350</v>
      </c>
      <c r="E65" s="116" t="s">
        <v>328</v>
      </c>
      <c r="F65" s="111">
        <v>1</v>
      </c>
      <c r="G65" s="469"/>
      <c r="H65" s="469"/>
      <c r="I65" s="229">
        <f>H65+G65</f>
        <v>0</v>
      </c>
      <c r="J65" s="239"/>
      <c r="K65" s="464"/>
      <c r="L65" s="476"/>
    </row>
    <row r="66" spans="1:12" s="474" customFormat="1" ht="14.15" customHeight="1" x14ac:dyDescent="0.25">
      <c r="A66" s="258"/>
      <c r="B66" s="475"/>
      <c r="C66" s="111" t="s">
        <v>295</v>
      </c>
      <c r="D66" s="117" t="s">
        <v>177</v>
      </c>
      <c r="E66" s="116" t="s">
        <v>328</v>
      </c>
      <c r="F66" s="111">
        <f>10*2</f>
        <v>20</v>
      </c>
      <c r="G66" s="469"/>
      <c r="H66" s="469"/>
      <c r="I66" s="229">
        <f>H66+G66</f>
        <v>0</v>
      </c>
      <c r="J66" s="229">
        <f>I66*F66</f>
        <v>0</v>
      </c>
      <c r="K66" s="464"/>
      <c r="L66" s="476"/>
    </row>
    <row r="67" spans="1:12" s="474" customFormat="1" ht="14.15" customHeight="1" x14ac:dyDescent="0.25">
      <c r="A67" s="258"/>
      <c r="B67" s="475"/>
      <c r="C67" s="111" t="s">
        <v>296</v>
      </c>
      <c r="D67" s="117" t="s">
        <v>297</v>
      </c>
      <c r="E67" s="116" t="s">
        <v>328</v>
      </c>
      <c r="F67" s="111">
        <f>10*2</f>
        <v>20</v>
      </c>
      <c r="G67" s="469"/>
      <c r="H67" s="469"/>
      <c r="I67" s="229">
        <f>H67+G67</f>
        <v>0</v>
      </c>
      <c r="J67" s="229">
        <f>I67*F67</f>
        <v>0</v>
      </c>
      <c r="K67" s="464"/>
      <c r="L67" s="476"/>
    </row>
    <row r="68" spans="1:12" s="119" customFormat="1" ht="14.5" customHeight="1" thickBot="1" x14ac:dyDescent="0.35">
      <c r="A68" s="258"/>
      <c r="B68" s="464"/>
      <c r="C68" s="121"/>
      <c r="D68" s="115"/>
      <c r="E68" s="232" t="s">
        <v>61</v>
      </c>
      <c r="F68" s="232" t="s">
        <v>62</v>
      </c>
      <c r="G68" s="500" t="s">
        <v>63</v>
      </c>
      <c r="H68" s="500" t="s">
        <v>64</v>
      </c>
      <c r="I68" s="501" t="s">
        <v>65</v>
      </c>
      <c r="J68" s="501" t="s">
        <v>66</v>
      </c>
      <c r="K68" s="464"/>
      <c r="L68" s="258"/>
    </row>
    <row r="69" spans="1:12" s="119" customFormat="1" ht="28.5" customHeight="1" thickTop="1" x14ac:dyDescent="0.25">
      <c r="A69" s="258"/>
      <c r="B69" s="464"/>
      <c r="C69" s="113">
        <v>5.5</v>
      </c>
      <c r="D69" s="141" t="s">
        <v>298</v>
      </c>
      <c r="E69" s="156" t="s">
        <v>35</v>
      </c>
      <c r="F69" s="156" t="s">
        <v>36</v>
      </c>
      <c r="G69" s="485" t="s">
        <v>325</v>
      </c>
      <c r="H69" s="486" t="s">
        <v>252</v>
      </c>
      <c r="I69" s="487" t="s">
        <v>253</v>
      </c>
      <c r="J69" s="503" t="s">
        <v>254</v>
      </c>
      <c r="K69" s="464"/>
      <c r="L69" s="258"/>
    </row>
    <row r="70" spans="1:12" s="119" customFormat="1" ht="28" customHeight="1" x14ac:dyDescent="0.25">
      <c r="A70" s="258"/>
      <c r="B70" s="464"/>
      <c r="C70" s="111" t="s">
        <v>299</v>
      </c>
      <c r="D70" s="117" t="s">
        <v>199</v>
      </c>
      <c r="E70" s="116" t="s">
        <v>108</v>
      </c>
      <c r="F70" s="111">
        <f>20*3</f>
        <v>60</v>
      </c>
      <c r="G70" s="469"/>
      <c r="H70" s="469"/>
      <c r="I70" s="229">
        <f>H70+G70</f>
        <v>0</v>
      </c>
      <c r="J70" s="229">
        <f>I70*F70</f>
        <v>0</v>
      </c>
      <c r="K70" s="464"/>
      <c r="L70" s="258"/>
    </row>
    <row r="71" spans="1:12" s="119" customFormat="1" ht="28" customHeight="1" x14ac:dyDescent="0.25">
      <c r="A71" s="258"/>
      <c r="B71" s="464"/>
      <c r="C71" s="111" t="s">
        <v>300</v>
      </c>
      <c r="D71" s="117" t="s">
        <v>301</v>
      </c>
      <c r="E71" s="116" t="s">
        <v>42</v>
      </c>
      <c r="F71" s="111">
        <v>3</v>
      </c>
      <c r="G71" s="469"/>
      <c r="H71" s="469"/>
      <c r="I71" s="229">
        <f>H71+G71</f>
        <v>0</v>
      </c>
      <c r="J71" s="229">
        <f>I71*F71</f>
        <v>0</v>
      </c>
      <c r="K71" s="464"/>
      <c r="L71" s="258"/>
    </row>
    <row r="72" spans="1:12" s="119" customFormat="1" ht="14.15" customHeight="1" x14ac:dyDescent="0.25">
      <c r="A72" s="258"/>
      <c r="B72" s="464"/>
      <c r="C72" s="113">
        <v>5.6</v>
      </c>
      <c r="D72" s="141" t="s">
        <v>302</v>
      </c>
      <c r="E72" s="610"/>
      <c r="F72" s="545"/>
      <c r="G72" s="546"/>
      <c r="H72" s="546"/>
      <c r="I72" s="545"/>
      <c r="J72" s="552"/>
      <c r="K72" s="464"/>
      <c r="L72" s="258"/>
    </row>
    <row r="73" spans="1:12" s="119" customFormat="1" ht="24" customHeight="1" x14ac:dyDescent="0.25">
      <c r="A73" s="258"/>
      <c r="B73" s="464"/>
      <c r="C73" s="111" t="s">
        <v>304</v>
      </c>
      <c r="D73" s="117" t="s">
        <v>305</v>
      </c>
      <c r="E73" s="116" t="s">
        <v>108</v>
      </c>
      <c r="F73" s="111">
        <v>60</v>
      </c>
      <c r="G73" s="469"/>
      <c r="H73" s="469"/>
      <c r="I73" s="229">
        <f t="shared" ref="I73:I78" si="4">H73+G73</f>
        <v>0</v>
      </c>
      <c r="J73" s="229">
        <f t="shared" ref="J73:J78" si="5">I73*F73</f>
        <v>0</v>
      </c>
      <c r="K73" s="464"/>
      <c r="L73" s="258"/>
    </row>
    <row r="74" spans="1:12" s="119" customFormat="1" ht="24" customHeight="1" x14ac:dyDescent="0.25">
      <c r="A74" s="258"/>
      <c r="B74" s="464"/>
      <c r="C74" s="111" t="s">
        <v>306</v>
      </c>
      <c r="D74" s="117" t="s">
        <v>307</v>
      </c>
      <c r="E74" s="116" t="s">
        <v>108</v>
      </c>
      <c r="F74" s="111">
        <v>60</v>
      </c>
      <c r="G74" s="469"/>
      <c r="H74" s="469"/>
      <c r="I74" s="229">
        <f t="shared" si="4"/>
        <v>0</v>
      </c>
      <c r="J74" s="229">
        <f t="shared" si="5"/>
        <v>0</v>
      </c>
      <c r="K74" s="464"/>
      <c r="L74" s="258"/>
    </row>
    <row r="75" spans="1:12" s="119" customFormat="1" ht="24" customHeight="1" x14ac:dyDescent="0.25">
      <c r="A75" s="258"/>
      <c r="B75" s="464"/>
      <c r="C75" s="111" t="s">
        <v>308</v>
      </c>
      <c r="D75" s="117" t="s">
        <v>309</v>
      </c>
      <c r="E75" s="116" t="s">
        <v>108</v>
      </c>
      <c r="F75" s="111">
        <v>60</v>
      </c>
      <c r="G75" s="469"/>
      <c r="H75" s="469"/>
      <c r="I75" s="229">
        <f t="shared" si="4"/>
        <v>0</v>
      </c>
      <c r="J75" s="229">
        <f t="shared" si="5"/>
        <v>0</v>
      </c>
      <c r="K75" s="464"/>
      <c r="L75" s="258"/>
    </row>
    <row r="76" spans="1:12" s="119" customFormat="1" ht="34.4" customHeight="1" x14ac:dyDescent="0.25">
      <c r="A76" s="258"/>
      <c r="B76" s="464"/>
      <c r="C76" s="111" t="s">
        <v>310</v>
      </c>
      <c r="D76" s="118" t="s">
        <v>311</v>
      </c>
      <c r="E76" s="116" t="s">
        <v>108</v>
      </c>
      <c r="F76" s="111">
        <f>60*2</f>
        <v>120</v>
      </c>
      <c r="G76" s="469"/>
      <c r="H76" s="469"/>
      <c r="I76" s="229">
        <f t="shared" si="4"/>
        <v>0</v>
      </c>
      <c r="J76" s="229">
        <f t="shared" si="5"/>
        <v>0</v>
      </c>
      <c r="K76" s="464"/>
      <c r="L76" s="258"/>
    </row>
    <row r="77" spans="1:12" s="119" customFormat="1" ht="32.15" customHeight="1" x14ac:dyDescent="0.25">
      <c r="A77" s="258"/>
      <c r="B77" s="464"/>
      <c r="C77" s="111" t="s">
        <v>312</v>
      </c>
      <c r="D77" s="118" t="s">
        <v>313</v>
      </c>
      <c r="E77" s="116" t="s">
        <v>108</v>
      </c>
      <c r="F77" s="111">
        <v>60</v>
      </c>
      <c r="G77" s="469"/>
      <c r="H77" s="469"/>
      <c r="I77" s="229">
        <f t="shared" si="4"/>
        <v>0</v>
      </c>
      <c r="J77" s="229">
        <f t="shared" si="5"/>
        <v>0</v>
      </c>
      <c r="K77" s="464"/>
      <c r="L77" s="258"/>
    </row>
    <row r="78" spans="1:12" s="119" customFormat="1" ht="28" customHeight="1" x14ac:dyDescent="0.25">
      <c r="A78" s="258"/>
      <c r="B78" s="464"/>
      <c r="C78" s="111" t="s">
        <v>314</v>
      </c>
      <c r="D78" s="117" t="s">
        <v>315</v>
      </c>
      <c r="E78" s="116" t="s">
        <v>108</v>
      </c>
      <c r="F78" s="111">
        <v>60</v>
      </c>
      <c r="G78" s="469"/>
      <c r="H78" s="469"/>
      <c r="I78" s="229">
        <f t="shared" si="4"/>
        <v>0</v>
      </c>
      <c r="J78" s="229">
        <f t="shared" si="5"/>
        <v>0</v>
      </c>
      <c r="K78" s="464"/>
      <c r="L78" s="258"/>
    </row>
    <row r="79" spans="1:12" s="119" customFormat="1" ht="16.5" customHeight="1" thickBot="1" x14ac:dyDescent="0.35">
      <c r="A79" s="258"/>
      <c r="B79" s="464"/>
      <c r="C79" s="138">
        <v>6</v>
      </c>
      <c r="D79" s="141" t="s">
        <v>316</v>
      </c>
      <c r="E79" s="232" t="s">
        <v>61</v>
      </c>
      <c r="F79" s="232" t="s">
        <v>62</v>
      </c>
      <c r="G79" s="500" t="s">
        <v>63</v>
      </c>
      <c r="H79" s="500" t="s">
        <v>64</v>
      </c>
      <c r="I79" s="501" t="s">
        <v>65</v>
      </c>
      <c r="J79" s="501" t="s">
        <v>66</v>
      </c>
      <c r="K79" s="464"/>
      <c r="L79" s="258"/>
    </row>
    <row r="80" spans="1:12" s="119" customFormat="1" ht="28.5" customHeight="1" thickTop="1" x14ac:dyDescent="0.25">
      <c r="A80" s="258"/>
      <c r="B80" s="464"/>
      <c r="C80" s="113"/>
      <c r="D80" s="125"/>
      <c r="E80" s="156" t="s">
        <v>35</v>
      </c>
      <c r="F80" s="156" t="s">
        <v>36</v>
      </c>
      <c r="G80" s="485" t="s">
        <v>325</v>
      </c>
      <c r="H80" s="486" t="s">
        <v>252</v>
      </c>
      <c r="I80" s="487" t="s">
        <v>253</v>
      </c>
      <c r="J80" s="503" t="s">
        <v>254</v>
      </c>
      <c r="K80" s="464"/>
      <c r="L80" s="258"/>
    </row>
    <row r="81" spans="1:12" s="119" customFormat="1" ht="42" customHeight="1" x14ac:dyDescent="0.25">
      <c r="A81" s="258"/>
      <c r="B81" s="464"/>
      <c r="C81" s="111">
        <v>6.1</v>
      </c>
      <c r="D81" s="117" t="s">
        <v>317</v>
      </c>
      <c r="E81" s="116" t="s">
        <v>42</v>
      </c>
      <c r="F81" s="111">
        <v>3</v>
      </c>
      <c r="G81" s="469"/>
      <c r="H81" s="469"/>
      <c r="I81" s="229">
        <f>H81+G81</f>
        <v>0</v>
      </c>
      <c r="J81" s="229">
        <f>I81*F81</f>
        <v>0</v>
      </c>
      <c r="K81" s="464"/>
      <c r="L81" s="258"/>
    </row>
    <row r="82" spans="1:12" s="119" customFormat="1" ht="30.65" customHeight="1" x14ac:dyDescent="0.25">
      <c r="A82" s="258"/>
      <c r="B82" s="464"/>
      <c r="C82" s="111">
        <v>6.2</v>
      </c>
      <c r="D82" s="117" t="s">
        <v>318</v>
      </c>
      <c r="E82" s="116" t="s">
        <v>42</v>
      </c>
      <c r="F82" s="111">
        <v>3</v>
      </c>
      <c r="G82" s="469"/>
      <c r="H82" s="469"/>
      <c r="I82" s="229">
        <f>H82+G82</f>
        <v>0</v>
      </c>
      <c r="J82" s="229">
        <f>I82*F82</f>
        <v>0</v>
      </c>
      <c r="K82" s="464"/>
      <c r="L82" s="258"/>
    </row>
    <row r="83" spans="1:12" s="119" customFormat="1" ht="30.65" customHeight="1" x14ac:dyDescent="0.25">
      <c r="A83" s="258"/>
      <c r="B83" s="464"/>
      <c r="C83" s="111">
        <v>6.3</v>
      </c>
      <c r="D83" s="117" t="s">
        <v>319</v>
      </c>
      <c r="E83" s="116" t="s">
        <v>42</v>
      </c>
      <c r="F83" s="111">
        <v>3</v>
      </c>
      <c r="G83" s="469"/>
      <c r="H83" s="469"/>
      <c r="I83" s="229">
        <f>H83+G83</f>
        <v>0</v>
      </c>
      <c r="J83" s="229">
        <f>I83*F83</f>
        <v>0</v>
      </c>
      <c r="K83" s="464"/>
      <c r="L83" s="258"/>
    </row>
    <row r="84" spans="1:12" s="119" customFormat="1" ht="30.65" customHeight="1" thickBot="1" x14ac:dyDescent="0.3">
      <c r="A84" s="258"/>
      <c r="B84" s="464"/>
      <c r="C84" s="111">
        <v>6.4</v>
      </c>
      <c r="D84" s="117" t="s">
        <v>320</v>
      </c>
      <c r="E84" s="116" t="s">
        <v>42</v>
      </c>
      <c r="F84" s="111">
        <v>3</v>
      </c>
      <c r="G84" s="469"/>
      <c r="H84" s="469"/>
      <c r="I84" s="229">
        <f>H84+G84</f>
        <v>0</v>
      </c>
      <c r="J84" s="229">
        <f>I84*F84</f>
        <v>0</v>
      </c>
      <c r="K84" s="464"/>
      <c r="L84" s="258"/>
    </row>
    <row r="85" spans="1:12" s="119" customFormat="1" ht="18.75" customHeight="1" thickBot="1" x14ac:dyDescent="0.3">
      <c r="A85" s="258"/>
      <c r="B85" s="464"/>
      <c r="C85" s="111"/>
      <c r="D85" s="230" t="s">
        <v>360</v>
      </c>
      <c r="E85" s="544"/>
      <c r="F85" s="545"/>
      <c r="G85" s="546"/>
      <c r="H85" s="546"/>
      <c r="I85" s="545"/>
      <c r="J85" s="240">
        <f>SUM(J15:J84)</f>
        <v>0</v>
      </c>
      <c r="K85" s="464"/>
      <c r="L85" s="258"/>
    </row>
    <row r="86" spans="1:12" s="119" customFormat="1" ht="28.5" customHeight="1" thickBot="1" x14ac:dyDescent="0.3">
      <c r="A86" s="258"/>
      <c r="B86" s="464"/>
      <c r="C86" s="532" t="s">
        <v>456</v>
      </c>
      <c r="D86" s="533"/>
      <c r="E86" s="533"/>
      <c r="F86" s="533"/>
      <c r="G86" s="533"/>
      <c r="H86" s="533"/>
      <c r="I86" s="533"/>
      <c r="J86" s="534"/>
      <c r="K86" s="258"/>
      <c r="L86" s="258"/>
    </row>
    <row r="87" spans="1:12" s="162" customFormat="1" x14ac:dyDescent="0.25">
      <c r="A87" s="258"/>
      <c r="B87" s="258"/>
      <c r="C87" s="535" t="s">
        <v>459</v>
      </c>
      <c r="D87" s="536"/>
      <c r="E87" s="536"/>
      <c r="F87" s="536"/>
      <c r="G87" s="536"/>
      <c r="H87" s="536"/>
      <c r="I87" s="536"/>
      <c r="J87" s="537"/>
      <c r="K87" s="258"/>
      <c r="L87" s="258"/>
    </row>
    <row r="88" spans="1:12" x14ac:dyDescent="0.25">
      <c r="C88" s="538"/>
      <c r="D88" s="539"/>
      <c r="E88" s="539"/>
      <c r="F88" s="539"/>
      <c r="G88" s="539"/>
      <c r="H88" s="539"/>
      <c r="I88" s="539"/>
      <c r="J88" s="540"/>
    </row>
    <row r="89" spans="1:12" x14ac:dyDescent="0.25">
      <c r="C89" s="538"/>
      <c r="D89" s="539"/>
      <c r="E89" s="539"/>
      <c r="F89" s="539"/>
      <c r="G89" s="539"/>
      <c r="H89" s="539"/>
      <c r="I89" s="539"/>
      <c r="J89" s="540"/>
    </row>
    <row r="90" spans="1:12" x14ac:dyDescent="0.25">
      <c r="C90" s="538"/>
      <c r="D90" s="539"/>
      <c r="E90" s="539"/>
      <c r="F90" s="539"/>
      <c r="G90" s="539"/>
      <c r="H90" s="539"/>
      <c r="I90" s="539"/>
      <c r="J90" s="540"/>
    </row>
    <row r="91" spans="1:12" ht="122.25" customHeight="1" thickBot="1" x14ac:dyDescent="0.3">
      <c r="C91" s="541"/>
      <c r="D91" s="542"/>
      <c r="E91" s="542"/>
      <c r="F91" s="542"/>
      <c r="G91" s="542"/>
      <c r="H91" s="542"/>
      <c r="I91" s="542"/>
      <c r="J91" s="543"/>
    </row>
  </sheetData>
  <sheetProtection algorithmName="SHA-512" hashValue="njImDQ4yANbkA8/pRrWi+PG77uwLntPTwzVrq44lFAhcuiB0jKDa4Wni912vpJ0LM2v3l4Iv1U++PUauK9oTDw==" saltValue="MuFXg4+R8k36/qd3tZHJLg==" spinCount="100000" sheet="1" objects="1" scenarios="1"/>
  <mergeCells count="12">
    <mergeCell ref="C86:J86"/>
    <mergeCell ref="C87:J91"/>
    <mergeCell ref="H1:J5"/>
    <mergeCell ref="C6:J6"/>
    <mergeCell ref="E72:J72"/>
    <mergeCell ref="C7:J7"/>
    <mergeCell ref="E52:J53"/>
    <mergeCell ref="E63:J63"/>
    <mergeCell ref="E59:J59"/>
    <mergeCell ref="C8:J8"/>
    <mergeCell ref="E85:I85"/>
    <mergeCell ref="E10:J12"/>
  </mergeCells>
  <pageMargins left="0.43307086614173229" right="0.43307086614173229" top="0.51181102362204722" bottom="0.51181102362204722" header="0.31496062992125978" footer="0.31496062992125978"/>
  <pageSetup paperSize="9" scale="37" fitToHeight="0"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rowBreaks count="1" manualBreakCount="1">
    <brk id="34" min="1" max="10"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pageSetUpPr fitToPage="1"/>
  </sheetPr>
  <dimension ref="A1:L96"/>
  <sheetViews>
    <sheetView view="pageBreakPreview" topLeftCell="A37" zoomScale="55" zoomScaleNormal="80" zoomScaleSheetLayoutView="55" workbookViewId="0">
      <selection activeCell="F35" sqref="F35"/>
    </sheetView>
  </sheetViews>
  <sheetFormatPr defaultColWidth="8.54296875" defaultRowHeight="12.5" x14ac:dyDescent="0.25"/>
  <cols>
    <col min="2" max="2" width="2.453125" style="162" customWidth="1"/>
    <col min="3" max="3" width="16.453125" style="35" customWidth="1"/>
    <col min="4" max="4" width="81.453125" style="45" customWidth="1"/>
    <col min="5" max="5" width="7.54296875" style="35" customWidth="1"/>
    <col min="6" max="6" width="14.453125" style="35" customWidth="1"/>
    <col min="7" max="7" width="17.453125" style="8" customWidth="1"/>
    <col min="8" max="8" width="13.81640625" style="8" customWidth="1"/>
    <col min="9" max="9" width="15.54296875" style="295" customWidth="1"/>
    <col min="10" max="10" width="16.81640625" style="295" bestFit="1" customWidth="1"/>
    <col min="11" max="11" width="2.453125" style="162" customWidth="1"/>
  </cols>
  <sheetData>
    <row r="1" spans="1:12" x14ac:dyDescent="0.25">
      <c r="H1" s="530" t="e" vm="1">
        <v>#VALUE!</v>
      </c>
      <c r="I1" s="530"/>
      <c r="J1" s="530"/>
    </row>
    <row r="2" spans="1:12" x14ac:dyDescent="0.25">
      <c r="H2" s="530"/>
      <c r="I2" s="530"/>
      <c r="J2" s="530"/>
    </row>
    <row r="3" spans="1:12" x14ac:dyDescent="0.25">
      <c r="H3" s="530"/>
      <c r="I3" s="530"/>
      <c r="J3" s="530"/>
    </row>
    <row r="4" spans="1:12" x14ac:dyDescent="0.25">
      <c r="H4" s="530"/>
      <c r="I4" s="530"/>
      <c r="J4" s="530"/>
    </row>
    <row r="5" spans="1:12" x14ac:dyDescent="0.25">
      <c r="H5" s="530"/>
      <c r="I5" s="530"/>
      <c r="J5" s="530"/>
    </row>
    <row r="6" spans="1:12" x14ac:dyDescent="0.25">
      <c r="A6" s="258"/>
      <c r="B6" s="258"/>
      <c r="G6" s="258"/>
      <c r="H6" s="531"/>
      <c r="I6" s="531"/>
      <c r="J6" s="531"/>
      <c r="K6" s="258"/>
      <c r="L6" s="258"/>
    </row>
    <row r="7" spans="1:12" ht="15.65" customHeight="1" x14ac:dyDescent="0.35">
      <c r="A7" s="258"/>
      <c r="B7" s="258"/>
      <c r="C7" s="551" t="s">
        <v>0</v>
      </c>
      <c r="D7" s="545"/>
      <c r="E7" s="545"/>
      <c r="F7" s="545"/>
      <c r="G7" s="546"/>
      <c r="H7" s="546"/>
      <c r="I7" s="545"/>
      <c r="J7" s="552"/>
      <c r="K7" s="459"/>
      <c r="L7" s="299"/>
    </row>
    <row r="8" spans="1:12" ht="15.65" customHeight="1" x14ac:dyDescent="0.35">
      <c r="A8" s="258"/>
      <c r="B8" s="258"/>
      <c r="C8" s="551" t="str">
        <f>'SECTION 1-P&amp;G'!C8</f>
        <v>ACSA KSIA POWER FACTOR CORRECTION UPGRADE</v>
      </c>
      <c r="D8" s="545"/>
      <c r="E8" s="545"/>
      <c r="F8" s="545"/>
      <c r="G8" s="546"/>
      <c r="H8" s="546"/>
      <c r="I8" s="545"/>
      <c r="J8" s="552"/>
      <c r="K8" s="298"/>
      <c r="L8" s="299"/>
    </row>
    <row r="9" spans="1:12" ht="16" customHeight="1" thickBot="1" x14ac:dyDescent="0.4">
      <c r="A9" s="258"/>
      <c r="B9" s="258"/>
      <c r="C9" s="615" t="s">
        <v>392</v>
      </c>
      <c r="D9" s="545"/>
      <c r="E9" s="545"/>
      <c r="F9" s="545"/>
      <c r="G9" s="546"/>
      <c r="H9" s="546"/>
      <c r="I9" s="545"/>
      <c r="J9" s="552"/>
      <c r="K9" s="459"/>
      <c r="L9" s="299"/>
    </row>
    <row r="10" spans="1:12" ht="45.75" customHeight="1" thickTop="1" x14ac:dyDescent="0.3">
      <c r="A10" s="258"/>
      <c r="B10" s="258"/>
      <c r="C10" s="113" t="s">
        <v>34</v>
      </c>
      <c r="D10" s="44" t="s">
        <v>4</v>
      </c>
      <c r="E10" s="33" t="s">
        <v>35</v>
      </c>
      <c r="F10" s="33" t="s">
        <v>36</v>
      </c>
      <c r="G10" s="314" t="s">
        <v>325</v>
      </c>
      <c r="H10" s="317" t="s">
        <v>252</v>
      </c>
      <c r="I10" s="480" t="s">
        <v>253</v>
      </c>
      <c r="J10" s="493" t="s">
        <v>254</v>
      </c>
      <c r="K10" s="258"/>
      <c r="L10" s="258"/>
    </row>
    <row r="11" spans="1:12" ht="27.65" customHeight="1" x14ac:dyDescent="0.25">
      <c r="A11" s="258"/>
      <c r="B11" s="258"/>
      <c r="C11" s="138"/>
      <c r="D11" s="114" t="s">
        <v>247</v>
      </c>
      <c r="E11" s="554"/>
      <c r="F11" s="555"/>
      <c r="G11" s="556"/>
      <c r="H11" s="556"/>
      <c r="I11" s="555"/>
      <c r="J11" s="557"/>
      <c r="K11" s="258"/>
      <c r="L11" s="258"/>
    </row>
    <row r="12" spans="1:12" ht="28" customHeight="1" x14ac:dyDescent="0.3">
      <c r="A12" s="258"/>
      <c r="B12" s="258"/>
      <c r="C12" s="113"/>
      <c r="D12" s="110" t="s">
        <v>248</v>
      </c>
      <c r="E12" s="558"/>
      <c r="F12" s="559"/>
      <c r="G12" s="560"/>
      <c r="H12" s="560"/>
      <c r="I12" s="530"/>
      <c r="J12" s="561"/>
      <c r="K12" s="258"/>
      <c r="L12" s="258"/>
    </row>
    <row r="13" spans="1:12" ht="28" customHeight="1" x14ac:dyDescent="0.3">
      <c r="A13" s="258"/>
      <c r="B13" s="258"/>
      <c r="C13" s="113"/>
      <c r="D13" s="110" t="s">
        <v>249</v>
      </c>
      <c r="E13" s="562"/>
      <c r="F13" s="563"/>
      <c r="G13" s="564"/>
      <c r="H13" s="564"/>
      <c r="I13" s="563"/>
      <c r="J13" s="565"/>
      <c r="K13" s="258"/>
      <c r="L13" s="258"/>
    </row>
    <row r="14" spans="1:12" s="119" customFormat="1" ht="16.5" customHeight="1" thickBot="1" x14ac:dyDescent="0.35">
      <c r="A14" s="258"/>
      <c r="B14" s="464"/>
      <c r="C14" s="138">
        <v>1</v>
      </c>
      <c r="D14" s="141" t="s">
        <v>250</v>
      </c>
      <c r="E14" s="232" t="s">
        <v>61</v>
      </c>
      <c r="F14" s="232" t="s">
        <v>62</v>
      </c>
      <c r="G14" s="500" t="s">
        <v>63</v>
      </c>
      <c r="H14" s="500" t="s">
        <v>64</v>
      </c>
      <c r="I14" s="501" t="s">
        <v>65</v>
      </c>
      <c r="J14" s="501" t="s">
        <v>66</v>
      </c>
      <c r="K14" s="464"/>
      <c r="L14" s="258"/>
    </row>
    <row r="15" spans="1:12" s="119" customFormat="1" ht="35.5" customHeight="1" thickTop="1" x14ac:dyDescent="0.25">
      <c r="A15" s="258"/>
      <c r="B15" s="464"/>
      <c r="C15" s="113"/>
      <c r="D15" s="142"/>
      <c r="E15" s="156" t="s">
        <v>35</v>
      </c>
      <c r="F15" s="156" t="s">
        <v>36</v>
      </c>
      <c r="G15" s="485" t="s">
        <v>325</v>
      </c>
      <c r="H15" s="486" t="s">
        <v>252</v>
      </c>
      <c r="I15" s="487" t="s">
        <v>253</v>
      </c>
      <c r="J15" s="503" t="s">
        <v>254</v>
      </c>
      <c r="K15" s="464"/>
      <c r="L15" s="258"/>
    </row>
    <row r="16" spans="1:12" s="119" customFormat="1" ht="92.15" customHeight="1" x14ac:dyDescent="0.25">
      <c r="A16" s="258"/>
      <c r="B16" s="464"/>
      <c r="C16" s="111">
        <v>1.1000000000000001</v>
      </c>
      <c r="D16" s="118" t="s">
        <v>393</v>
      </c>
      <c r="E16" s="116" t="s">
        <v>42</v>
      </c>
      <c r="F16" s="111">
        <v>1</v>
      </c>
      <c r="G16" s="469"/>
      <c r="H16" s="469"/>
      <c r="I16" s="229">
        <f>H16+G16</f>
        <v>0</v>
      </c>
      <c r="J16" s="229">
        <f>I16*F16</f>
        <v>0</v>
      </c>
      <c r="K16" s="464"/>
      <c r="L16" s="258"/>
    </row>
    <row r="17" spans="1:12" s="119" customFormat="1" ht="92.15" customHeight="1" x14ac:dyDescent="0.25">
      <c r="A17" s="258"/>
      <c r="B17" s="464"/>
      <c r="C17" s="111">
        <v>1.2</v>
      </c>
      <c r="D17" s="118" t="s">
        <v>394</v>
      </c>
      <c r="E17" s="116" t="s">
        <v>42</v>
      </c>
      <c r="F17" s="111">
        <v>1</v>
      </c>
      <c r="G17" s="469"/>
      <c r="H17" s="469"/>
      <c r="I17" s="229">
        <f>H17+G17</f>
        <v>0</v>
      </c>
      <c r="J17" s="229">
        <f>I17*F17</f>
        <v>0</v>
      </c>
      <c r="K17" s="464"/>
      <c r="L17" s="258"/>
    </row>
    <row r="18" spans="1:12" s="119" customFormat="1" ht="100.4" customHeight="1" x14ac:dyDescent="0.25">
      <c r="A18" s="258"/>
      <c r="B18" s="464"/>
      <c r="C18" s="111">
        <v>1.3</v>
      </c>
      <c r="D18" s="118" t="s">
        <v>395</v>
      </c>
      <c r="E18" s="116" t="s">
        <v>42</v>
      </c>
      <c r="F18" s="111">
        <v>1</v>
      </c>
      <c r="G18" s="469"/>
      <c r="H18" s="469"/>
      <c r="I18" s="229">
        <f>H18+G18</f>
        <v>0</v>
      </c>
      <c r="J18" s="229">
        <f>I18*F18</f>
        <v>0</v>
      </c>
      <c r="K18" s="464"/>
      <c r="L18" s="258"/>
    </row>
    <row r="19" spans="1:12" s="119" customFormat="1" ht="100.4" customHeight="1" x14ac:dyDescent="0.25">
      <c r="A19" s="258"/>
      <c r="B19" s="464"/>
      <c r="C19" s="111">
        <v>1.4</v>
      </c>
      <c r="D19" s="118" t="s">
        <v>396</v>
      </c>
      <c r="E19" s="116" t="s">
        <v>42</v>
      </c>
      <c r="F19" s="111">
        <v>1</v>
      </c>
      <c r="G19" s="469"/>
      <c r="H19" s="469"/>
      <c r="I19" s="229">
        <f>H19+G19</f>
        <v>0</v>
      </c>
      <c r="J19" s="229">
        <f>I19*F19</f>
        <v>0</v>
      </c>
      <c r="K19" s="464"/>
      <c r="L19" s="258"/>
    </row>
    <row r="20" spans="1:12" s="119" customFormat="1" ht="14.5" customHeight="1" thickBot="1" x14ac:dyDescent="0.35">
      <c r="A20" s="258"/>
      <c r="B20" s="464"/>
      <c r="C20" s="111"/>
      <c r="D20" s="118"/>
      <c r="E20" s="232" t="s">
        <v>61</v>
      </c>
      <c r="F20" s="232" t="s">
        <v>62</v>
      </c>
      <c r="G20" s="500" t="s">
        <v>63</v>
      </c>
      <c r="H20" s="500" t="s">
        <v>64</v>
      </c>
      <c r="I20" s="501" t="s">
        <v>65</v>
      </c>
      <c r="J20" s="501" t="s">
        <v>66</v>
      </c>
      <c r="K20" s="464"/>
      <c r="L20" s="258"/>
    </row>
    <row r="21" spans="1:12" ht="56.5" customHeight="1" thickTop="1" x14ac:dyDescent="0.3">
      <c r="A21" s="258"/>
      <c r="B21" s="258"/>
      <c r="C21" s="138">
        <v>2</v>
      </c>
      <c r="D21" s="152" t="s">
        <v>257</v>
      </c>
      <c r="E21" s="156" t="s">
        <v>35</v>
      </c>
      <c r="F21" s="156" t="s">
        <v>36</v>
      </c>
      <c r="G21" s="485" t="s">
        <v>325</v>
      </c>
      <c r="H21" s="486" t="s">
        <v>252</v>
      </c>
      <c r="I21" s="487" t="s">
        <v>253</v>
      </c>
      <c r="J21" s="503" t="s">
        <v>254</v>
      </c>
      <c r="K21" s="258"/>
      <c r="L21" s="258"/>
    </row>
    <row r="22" spans="1:12" s="119" customFormat="1" ht="102.75" customHeight="1" x14ac:dyDescent="0.25">
      <c r="A22" s="258"/>
      <c r="B22" s="464"/>
      <c r="C22" s="113">
        <v>2.1</v>
      </c>
      <c r="D22" s="139" t="s">
        <v>397</v>
      </c>
      <c r="E22" s="111" t="s">
        <v>90</v>
      </c>
      <c r="F22" s="111">
        <v>2</v>
      </c>
      <c r="G22" s="469"/>
      <c r="H22" s="469"/>
      <c r="I22" s="229">
        <f t="shared" ref="I22:I29" si="0">H22+G22</f>
        <v>0</v>
      </c>
      <c r="J22" s="120">
        <f>I22*F22</f>
        <v>0</v>
      </c>
      <c r="K22" s="464"/>
      <c r="L22" s="258"/>
    </row>
    <row r="23" spans="1:12" s="119" customFormat="1" ht="93.65" customHeight="1" x14ac:dyDescent="0.25">
      <c r="A23" s="258"/>
      <c r="B23" s="464"/>
      <c r="C23" s="113">
        <v>2.2000000000000002</v>
      </c>
      <c r="D23" s="139" t="s">
        <v>343</v>
      </c>
      <c r="E23" s="111" t="s">
        <v>328</v>
      </c>
      <c r="F23" s="111" t="s">
        <v>261</v>
      </c>
      <c r="G23" s="469"/>
      <c r="H23" s="469"/>
      <c r="I23" s="229">
        <f t="shared" si="0"/>
        <v>0</v>
      </c>
      <c r="J23" s="154"/>
      <c r="K23" s="464"/>
      <c r="L23" s="258"/>
    </row>
    <row r="24" spans="1:12" s="119" customFormat="1" ht="93.65" customHeight="1" x14ac:dyDescent="0.25">
      <c r="A24" s="258"/>
      <c r="B24" s="464"/>
      <c r="C24" s="113">
        <v>2.2999999999999998</v>
      </c>
      <c r="D24" s="139" t="s">
        <v>262</v>
      </c>
      <c r="E24" s="111" t="s">
        <v>328</v>
      </c>
      <c r="F24" s="111" t="s">
        <v>261</v>
      </c>
      <c r="G24" s="469"/>
      <c r="H24" s="469"/>
      <c r="I24" s="229">
        <f t="shared" si="0"/>
        <v>0</v>
      </c>
      <c r="J24" s="154"/>
      <c r="K24" s="464"/>
      <c r="L24" s="258"/>
    </row>
    <row r="25" spans="1:12" s="119" customFormat="1" ht="93.65" customHeight="1" x14ac:dyDescent="0.25">
      <c r="A25" s="258"/>
      <c r="B25" s="464"/>
      <c r="C25" s="113">
        <v>2.4</v>
      </c>
      <c r="D25" s="139" t="s">
        <v>263</v>
      </c>
      <c r="E25" s="111" t="s">
        <v>328</v>
      </c>
      <c r="F25" s="111" t="s">
        <v>261</v>
      </c>
      <c r="G25" s="469"/>
      <c r="H25" s="469"/>
      <c r="I25" s="229">
        <f t="shared" si="0"/>
        <v>0</v>
      </c>
      <c r="J25" s="154"/>
      <c r="K25" s="464"/>
      <c r="L25" s="258"/>
    </row>
    <row r="26" spans="1:12" s="119" customFormat="1" ht="93.65" customHeight="1" x14ac:dyDescent="0.25">
      <c r="A26" s="258"/>
      <c r="B26" s="464"/>
      <c r="C26" s="113">
        <v>2.5</v>
      </c>
      <c r="D26" s="139" t="s">
        <v>398</v>
      </c>
      <c r="E26" s="111" t="s">
        <v>90</v>
      </c>
      <c r="F26" s="111">
        <v>2</v>
      </c>
      <c r="G26" s="469"/>
      <c r="H26" s="469"/>
      <c r="I26" s="229">
        <f t="shared" si="0"/>
        <v>0</v>
      </c>
      <c r="J26" s="120">
        <f>I26*F26</f>
        <v>0</v>
      </c>
      <c r="K26" s="464"/>
      <c r="L26" s="258"/>
    </row>
    <row r="27" spans="1:12" s="119" customFormat="1" ht="93.65" customHeight="1" x14ac:dyDescent="0.25">
      <c r="A27" s="258"/>
      <c r="B27" s="464"/>
      <c r="C27" s="113">
        <v>2.6</v>
      </c>
      <c r="D27" s="139" t="s">
        <v>343</v>
      </c>
      <c r="E27" s="111" t="s">
        <v>328</v>
      </c>
      <c r="F27" s="111" t="s">
        <v>261</v>
      </c>
      <c r="G27" s="469"/>
      <c r="H27" s="469"/>
      <c r="I27" s="229">
        <f t="shared" si="0"/>
        <v>0</v>
      </c>
      <c r="J27" s="154"/>
      <c r="K27" s="464"/>
      <c r="L27" s="258"/>
    </row>
    <row r="28" spans="1:12" s="119" customFormat="1" ht="93.65" customHeight="1" x14ac:dyDescent="0.25">
      <c r="A28" s="258"/>
      <c r="B28" s="464"/>
      <c r="C28" s="113">
        <v>2.7</v>
      </c>
      <c r="D28" s="139" t="s">
        <v>262</v>
      </c>
      <c r="E28" s="111" t="s">
        <v>328</v>
      </c>
      <c r="F28" s="111" t="s">
        <v>261</v>
      </c>
      <c r="G28" s="469"/>
      <c r="H28" s="469"/>
      <c r="I28" s="229">
        <f t="shared" si="0"/>
        <v>0</v>
      </c>
      <c r="J28" s="154"/>
      <c r="K28" s="464"/>
      <c r="L28" s="258"/>
    </row>
    <row r="29" spans="1:12" s="119" customFormat="1" ht="93.65" customHeight="1" x14ac:dyDescent="0.25">
      <c r="A29" s="258"/>
      <c r="B29" s="464"/>
      <c r="C29" s="113">
        <v>2.8</v>
      </c>
      <c r="D29" s="139" t="s">
        <v>263</v>
      </c>
      <c r="E29" s="111" t="s">
        <v>328</v>
      </c>
      <c r="F29" s="111" t="s">
        <v>261</v>
      </c>
      <c r="G29" s="469"/>
      <c r="H29" s="469"/>
      <c r="I29" s="229">
        <f t="shared" si="0"/>
        <v>0</v>
      </c>
      <c r="J29" s="154"/>
      <c r="K29" s="464"/>
      <c r="L29" s="258"/>
    </row>
    <row r="30" spans="1:12" s="119" customFormat="1" ht="16.5" customHeight="1" thickBot="1" x14ac:dyDescent="0.35">
      <c r="A30" s="258"/>
      <c r="B30" s="464"/>
      <c r="C30" s="113"/>
      <c r="D30" s="139"/>
      <c r="E30" s="232" t="s">
        <v>61</v>
      </c>
      <c r="F30" s="232" t="s">
        <v>62</v>
      </c>
      <c r="G30" s="500" t="s">
        <v>63</v>
      </c>
      <c r="H30" s="500" t="s">
        <v>64</v>
      </c>
      <c r="I30" s="501" t="s">
        <v>65</v>
      </c>
      <c r="J30" s="501" t="s">
        <v>66</v>
      </c>
      <c r="K30" s="464"/>
      <c r="L30" s="258"/>
    </row>
    <row r="31" spans="1:12" s="119" customFormat="1" ht="29.15" customHeight="1" thickTop="1" x14ac:dyDescent="0.25">
      <c r="A31" s="258"/>
      <c r="B31" s="464"/>
      <c r="C31" s="138">
        <v>3</v>
      </c>
      <c r="D31" s="141" t="s">
        <v>264</v>
      </c>
      <c r="E31" s="156" t="s">
        <v>35</v>
      </c>
      <c r="F31" s="156" t="s">
        <v>36</v>
      </c>
      <c r="G31" s="485" t="s">
        <v>325</v>
      </c>
      <c r="H31" s="486" t="s">
        <v>252</v>
      </c>
      <c r="I31" s="487" t="s">
        <v>253</v>
      </c>
      <c r="J31" s="503" t="s">
        <v>254</v>
      </c>
      <c r="K31" s="464"/>
      <c r="L31" s="258"/>
    </row>
    <row r="32" spans="1:12" s="119" customFormat="1" ht="43.4" customHeight="1" x14ac:dyDescent="0.25">
      <c r="A32" s="258"/>
      <c r="B32" s="464"/>
      <c r="C32" s="113">
        <v>3.1</v>
      </c>
      <c r="D32" s="140" t="s">
        <v>344</v>
      </c>
      <c r="E32" s="111" t="s">
        <v>328</v>
      </c>
      <c r="F32" s="111">
        <v>12</v>
      </c>
      <c r="G32" s="469"/>
      <c r="H32" s="469"/>
      <c r="I32" s="229">
        <f t="shared" ref="I32:I37" si="1">H32+G32</f>
        <v>0</v>
      </c>
      <c r="J32" s="229">
        <f>I32*F32</f>
        <v>0</v>
      </c>
      <c r="K32" s="464"/>
      <c r="L32" s="258"/>
    </row>
    <row r="33" spans="1:12" s="119" customFormat="1" ht="43.4" customHeight="1" x14ac:dyDescent="0.25">
      <c r="A33" s="258"/>
      <c r="B33" s="464"/>
      <c r="C33" s="113">
        <v>3.2</v>
      </c>
      <c r="D33" s="140" t="s">
        <v>268</v>
      </c>
      <c r="E33" s="111" t="s">
        <v>328</v>
      </c>
      <c r="F33" s="122">
        <v>24</v>
      </c>
      <c r="G33" s="469"/>
      <c r="H33" s="469"/>
      <c r="I33" s="229">
        <f t="shared" si="1"/>
        <v>0</v>
      </c>
      <c r="J33" s="229">
        <f>I33*F33</f>
        <v>0</v>
      </c>
      <c r="K33" s="464"/>
      <c r="L33" s="258"/>
    </row>
    <row r="34" spans="1:12" s="119" customFormat="1" ht="43.4" customHeight="1" x14ac:dyDescent="0.25">
      <c r="A34" s="258"/>
      <c r="B34" s="464"/>
      <c r="C34" s="113">
        <v>3.3</v>
      </c>
      <c r="D34" s="140" t="s">
        <v>399</v>
      </c>
      <c r="E34" s="111" t="s">
        <v>328</v>
      </c>
      <c r="F34" s="111" t="s">
        <v>261</v>
      </c>
      <c r="G34" s="469"/>
      <c r="H34" s="469"/>
      <c r="I34" s="229">
        <f t="shared" si="1"/>
        <v>0</v>
      </c>
      <c r="J34" s="239"/>
      <c r="K34" s="464"/>
      <c r="L34" s="258"/>
    </row>
    <row r="35" spans="1:12" s="119" customFormat="1" ht="43.4" customHeight="1" x14ac:dyDescent="0.25">
      <c r="A35" s="258"/>
      <c r="B35" s="464"/>
      <c r="C35" s="113">
        <v>3.4</v>
      </c>
      <c r="D35" s="140" t="s">
        <v>400</v>
      </c>
      <c r="E35" s="111" t="s">
        <v>328</v>
      </c>
      <c r="F35" s="111" t="s">
        <v>261</v>
      </c>
      <c r="G35" s="469"/>
      <c r="H35" s="469"/>
      <c r="I35" s="229">
        <f t="shared" si="1"/>
        <v>0</v>
      </c>
      <c r="J35" s="239"/>
      <c r="K35" s="464"/>
      <c r="L35" s="258"/>
    </row>
    <row r="36" spans="1:12" s="119" customFormat="1" ht="39" customHeight="1" x14ac:dyDescent="0.25">
      <c r="A36" s="258"/>
      <c r="B36" s="464"/>
      <c r="C36" s="113">
        <v>3.5</v>
      </c>
      <c r="D36" s="139" t="s">
        <v>269</v>
      </c>
      <c r="E36" s="122" t="s">
        <v>90</v>
      </c>
      <c r="F36" s="122">
        <v>4</v>
      </c>
      <c r="G36" s="469"/>
      <c r="H36" s="469"/>
      <c r="I36" s="229">
        <f t="shared" si="1"/>
        <v>0</v>
      </c>
      <c r="J36" s="229">
        <f>I36*F36</f>
        <v>0</v>
      </c>
      <c r="K36" s="464"/>
      <c r="L36" s="258"/>
    </row>
    <row r="37" spans="1:12" s="119" customFormat="1" ht="151.5" customHeight="1" x14ac:dyDescent="0.25">
      <c r="A37" s="258"/>
      <c r="B37" s="464"/>
      <c r="C37" s="113">
        <v>3.6</v>
      </c>
      <c r="D37" s="153" t="s">
        <v>329</v>
      </c>
      <c r="E37" s="122" t="s">
        <v>90</v>
      </c>
      <c r="F37" s="122">
        <v>4</v>
      </c>
      <c r="G37" s="469"/>
      <c r="H37" s="469"/>
      <c r="I37" s="229">
        <f t="shared" si="1"/>
        <v>0</v>
      </c>
      <c r="J37" s="229">
        <f>I37*F37</f>
        <v>0</v>
      </c>
      <c r="K37" s="464"/>
      <c r="L37" s="258"/>
    </row>
    <row r="38" spans="1:12" s="119" customFormat="1" ht="14.5" customHeight="1" thickBot="1" x14ac:dyDescent="0.35">
      <c r="A38" s="258"/>
      <c r="B38" s="464"/>
      <c r="C38" s="113"/>
      <c r="D38" s="142"/>
      <c r="E38" s="232" t="s">
        <v>61</v>
      </c>
      <c r="F38" s="232" t="s">
        <v>62</v>
      </c>
      <c r="G38" s="500" t="s">
        <v>63</v>
      </c>
      <c r="H38" s="500" t="s">
        <v>64</v>
      </c>
      <c r="I38" s="501" t="s">
        <v>65</v>
      </c>
      <c r="J38" s="501" t="s">
        <v>66</v>
      </c>
      <c r="K38" s="464"/>
      <c r="L38" s="258"/>
    </row>
    <row r="39" spans="1:12" s="119" customFormat="1" ht="29.5" customHeight="1" thickTop="1" x14ac:dyDescent="0.25">
      <c r="A39" s="258"/>
      <c r="B39" s="464"/>
      <c r="C39" s="138">
        <v>4</v>
      </c>
      <c r="D39" s="141" t="s">
        <v>272</v>
      </c>
      <c r="E39" s="156" t="s">
        <v>35</v>
      </c>
      <c r="F39" s="156" t="s">
        <v>36</v>
      </c>
      <c r="G39" s="485" t="s">
        <v>325</v>
      </c>
      <c r="H39" s="486" t="s">
        <v>252</v>
      </c>
      <c r="I39" s="487" t="s">
        <v>253</v>
      </c>
      <c r="J39" s="503" t="s">
        <v>254</v>
      </c>
      <c r="K39" s="464"/>
      <c r="L39" s="258"/>
    </row>
    <row r="40" spans="1:12" s="119" customFormat="1" ht="42" customHeight="1" x14ac:dyDescent="0.25">
      <c r="A40" s="258"/>
      <c r="B40" s="464"/>
      <c r="C40" s="113">
        <v>4.0999999999999996</v>
      </c>
      <c r="D40" s="139" t="s">
        <v>347</v>
      </c>
      <c r="E40" s="111" t="s">
        <v>90</v>
      </c>
      <c r="F40" s="111">
        <v>4</v>
      </c>
      <c r="G40" s="469"/>
      <c r="H40" s="469"/>
      <c r="I40" s="229">
        <f>H40+G40</f>
        <v>0</v>
      </c>
      <c r="J40" s="229">
        <f>I40*F40</f>
        <v>0</v>
      </c>
      <c r="K40" s="464"/>
      <c r="L40" s="258"/>
    </row>
    <row r="41" spans="1:12" s="119" customFormat="1" ht="42" customHeight="1" x14ac:dyDescent="0.25">
      <c r="A41" s="258"/>
      <c r="B41" s="464"/>
      <c r="C41" s="113">
        <v>4.2</v>
      </c>
      <c r="D41" s="139" t="s">
        <v>275</v>
      </c>
      <c r="E41" s="111" t="s">
        <v>90</v>
      </c>
      <c r="F41" s="111">
        <v>1</v>
      </c>
      <c r="G41" s="469"/>
      <c r="H41" s="469"/>
      <c r="I41" s="229">
        <f>H41+G41</f>
        <v>0</v>
      </c>
      <c r="J41" s="229">
        <f>I41*F41</f>
        <v>0</v>
      </c>
      <c r="K41" s="464"/>
      <c r="L41" s="258"/>
    </row>
    <row r="42" spans="1:12" s="119" customFormat="1" ht="42" customHeight="1" x14ac:dyDescent="0.25">
      <c r="A42" s="258"/>
      <c r="B42" s="464"/>
      <c r="C42" s="113">
        <v>4.3</v>
      </c>
      <c r="D42" s="139" t="s">
        <v>273</v>
      </c>
      <c r="E42" s="111" t="s">
        <v>90</v>
      </c>
      <c r="F42" s="111" t="s">
        <v>266</v>
      </c>
      <c r="G42" s="469"/>
      <c r="H42" s="469"/>
      <c r="I42" s="229">
        <f>H42+G42</f>
        <v>0</v>
      </c>
      <c r="J42" s="239"/>
      <c r="K42" s="464"/>
      <c r="L42" s="258"/>
    </row>
    <row r="43" spans="1:12" s="119" customFormat="1" ht="42" customHeight="1" x14ac:dyDescent="0.25">
      <c r="A43" s="258"/>
      <c r="B43" s="464"/>
      <c r="C43" s="113">
        <v>4.4000000000000004</v>
      </c>
      <c r="D43" s="139" t="s">
        <v>401</v>
      </c>
      <c r="E43" s="111" t="s">
        <v>90</v>
      </c>
      <c r="F43" s="111" t="s">
        <v>266</v>
      </c>
      <c r="G43" s="469"/>
      <c r="H43" s="469"/>
      <c r="I43" s="229">
        <f>H43+G43</f>
        <v>0</v>
      </c>
      <c r="J43" s="239"/>
      <c r="K43" s="464"/>
      <c r="L43" s="258"/>
    </row>
    <row r="44" spans="1:12" s="119" customFormat="1" ht="38.15" customHeight="1" x14ac:dyDescent="0.25">
      <c r="A44" s="258"/>
      <c r="B44" s="464"/>
      <c r="C44" s="113">
        <v>4.5</v>
      </c>
      <c r="D44" s="140" t="s">
        <v>276</v>
      </c>
      <c r="E44" s="111" t="s">
        <v>42</v>
      </c>
      <c r="F44" s="111">
        <v>1</v>
      </c>
      <c r="G44" s="469"/>
      <c r="H44" s="469"/>
      <c r="I44" s="229">
        <f>H44+G44</f>
        <v>0</v>
      </c>
      <c r="J44" s="229">
        <f>I44*F44</f>
        <v>0</v>
      </c>
      <c r="K44" s="464"/>
      <c r="L44" s="258"/>
    </row>
    <row r="45" spans="1:12" s="119" customFormat="1" ht="16.5" customHeight="1" x14ac:dyDescent="0.25">
      <c r="A45" s="258"/>
      <c r="B45" s="464"/>
      <c r="C45" s="138">
        <v>5</v>
      </c>
      <c r="D45" s="141" t="s">
        <v>277</v>
      </c>
      <c r="E45" s="225"/>
      <c r="F45" s="225"/>
      <c r="G45" s="505"/>
      <c r="H45" s="505"/>
      <c r="I45" s="506"/>
      <c r="J45" s="506"/>
      <c r="K45" s="464"/>
      <c r="L45" s="258"/>
    </row>
    <row r="46" spans="1:12" s="119" customFormat="1" ht="28" customHeight="1" x14ac:dyDescent="0.25">
      <c r="A46" s="258"/>
      <c r="B46" s="464"/>
      <c r="C46" s="113">
        <v>5.0999999999999996</v>
      </c>
      <c r="D46" s="142" t="s">
        <v>278</v>
      </c>
      <c r="E46" s="553"/>
      <c r="F46" s="545"/>
      <c r="G46" s="546"/>
      <c r="H46" s="546"/>
      <c r="I46" s="545"/>
      <c r="J46" s="552"/>
      <c r="K46" s="464"/>
      <c r="L46" s="258"/>
    </row>
    <row r="47" spans="1:12" s="119" customFormat="1" ht="28.5" customHeight="1" thickBot="1" x14ac:dyDescent="0.35">
      <c r="A47" s="258"/>
      <c r="B47" s="464"/>
      <c r="C47" s="113">
        <v>5.2</v>
      </c>
      <c r="D47" s="141" t="s">
        <v>279</v>
      </c>
      <c r="E47" s="232" t="s">
        <v>61</v>
      </c>
      <c r="F47" s="232" t="s">
        <v>62</v>
      </c>
      <c r="G47" s="500" t="s">
        <v>63</v>
      </c>
      <c r="H47" s="500" t="s">
        <v>64</v>
      </c>
      <c r="I47" s="501" t="s">
        <v>65</v>
      </c>
      <c r="J47" s="501" t="s">
        <v>66</v>
      </c>
      <c r="K47" s="464"/>
      <c r="L47" s="258"/>
    </row>
    <row r="48" spans="1:12" s="119" customFormat="1" ht="42.65" customHeight="1" thickTop="1" x14ac:dyDescent="0.25">
      <c r="A48" s="258"/>
      <c r="B48" s="464"/>
      <c r="C48" s="113"/>
      <c r="D48" s="115" t="s">
        <v>280</v>
      </c>
      <c r="E48" s="156" t="s">
        <v>35</v>
      </c>
      <c r="F48" s="156" t="s">
        <v>36</v>
      </c>
      <c r="G48" s="485" t="s">
        <v>325</v>
      </c>
      <c r="H48" s="486" t="s">
        <v>252</v>
      </c>
      <c r="I48" s="487" t="s">
        <v>253</v>
      </c>
      <c r="J48" s="503" t="s">
        <v>254</v>
      </c>
      <c r="K48" s="464"/>
      <c r="L48" s="258"/>
    </row>
    <row r="49" spans="1:12" s="119" customFormat="1" ht="14.15" customHeight="1" x14ac:dyDescent="0.25">
      <c r="A49" s="258"/>
      <c r="B49" s="464"/>
      <c r="C49" s="111" t="s">
        <v>281</v>
      </c>
      <c r="D49" s="117" t="s">
        <v>282</v>
      </c>
      <c r="E49" s="116" t="s">
        <v>108</v>
      </c>
      <c r="F49" s="111">
        <f>((2*20)*2)*1.1</f>
        <v>88</v>
      </c>
      <c r="G49" s="469"/>
      <c r="H49" s="469"/>
      <c r="I49" s="229">
        <f>H49+G49</f>
        <v>0</v>
      </c>
      <c r="J49" s="229">
        <f>I49*F49</f>
        <v>0</v>
      </c>
      <c r="K49" s="464"/>
      <c r="L49" s="258"/>
    </row>
    <row r="50" spans="1:12" s="119" customFormat="1" ht="14.15" customHeight="1" x14ac:dyDescent="0.25">
      <c r="A50" s="258"/>
      <c r="B50" s="464"/>
      <c r="C50" s="111" t="s">
        <v>283</v>
      </c>
      <c r="D50" s="117" t="s">
        <v>350</v>
      </c>
      <c r="E50" s="116" t="s">
        <v>108</v>
      </c>
      <c r="F50" s="111">
        <v>1</v>
      </c>
      <c r="G50" s="469"/>
      <c r="H50" s="469"/>
      <c r="I50" s="229">
        <f>H50+G50</f>
        <v>0</v>
      </c>
      <c r="J50" s="239"/>
      <c r="K50" s="464"/>
      <c r="L50" s="258"/>
    </row>
    <row r="51" spans="1:12" s="119" customFormat="1" ht="14.15" customHeight="1" x14ac:dyDescent="0.25">
      <c r="A51" s="258"/>
      <c r="B51" s="464"/>
      <c r="C51" s="111" t="s">
        <v>285</v>
      </c>
      <c r="D51" s="117" t="s">
        <v>286</v>
      </c>
      <c r="E51" s="116" t="s">
        <v>108</v>
      </c>
      <c r="F51" s="111">
        <f>20*2</f>
        <v>40</v>
      </c>
      <c r="G51" s="469"/>
      <c r="H51" s="469"/>
      <c r="I51" s="229">
        <f>H51+G51</f>
        <v>0</v>
      </c>
      <c r="J51" s="229">
        <f>I51*F51</f>
        <v>0</v>
      </c>
      <c r="K51" s="464"/>
      <c r="L51" s="258"/>
    </row>
    <row r="52" spans="1:12" s="119" customFormat="1" ht="14.5" customHeight="1" thickBot="1" x14ac:dyDescent="0.35">
      <c r="A52" s="258"/>
      <c r="B52" s="464"/>
      <c r="C52" s="113">
        <v>5.3</v>
      </c>
      <c r="D52" s="141" t="s">
        <v>287</v>
      </c>
      <c r="E52" s="232" t="s">
        <v>61</v>
      </c>
      <c r="F52" s="232" t="s">
        <v>62</v>
      </c>
      <c r="G52" s="500" t="s">
        <v>63</v>
      </c>
      <c r="H52" s="500" t="s">
        <v>64</v>
      </c>
      <c r="I52" s="501" t="s">
        <v>65</v>
      </c>
      <c r="J52" s="501" t="s">
        <v>66</v>
      </c>
      <c r="K52" s="464"/>
      <c r="L52" s="258"/>
    </row>
    <row r="53" spans="1:12" s="119" customFormat="1" ht="28.5" customHeight="1" thickTop="1" x14ac:dyDescent="0.25">
      <c r="A53" s="258"/>
      <c r="B53" s="464"/>
      <c r="C53" s="113"/>
      <c r="D53" s="142"/>
      <c r="E53" s="156" t="s">
        <v>35</v>
      </c>
      <c r="F53" s="156" t="s">
        <v>36</v>
      </c>
      <c r="G53" s="485" t="s">
        <v>325</v>
      </c>
      <c r="H53" s="486" t="s">
        <v>252</v>
      </c>
      <c r="I53" s="487" t="s">
        <v>253</v>
      </c>
      <c r="J53" s="503" t="s">
        <v>254</v>
      </c>
      <c r="K53" s="464"/>
      <c r="L53" s="258"/>
    </row>
    <row r="54" spans="1:12" s="119" customFormat="1" ht="14.15" customHeight="1" x14ac:dyDescent="0.25">
      <c r="A54" s="258"/>
      <c r="B54" s="464"/>
      <c r="C54" s="113"/>
      <c r="D54" s="117" t="s">
        <v>288</v>
      </c>
      <c r="E54" s="553"/>
      <c r="F54" s="545"/>
      <c r="G54" s="546"/>
      <c r="H54" s="546"/>
      <c r="I54" s="545"/>
      <c r="J54" s="552"/>
      <c r="K54" s="464"/>
      <c r="L54" s="258"/>
    </row>
    <row r="55" spans="1:12" s="119" customFormat="1" ht="14.15" customHeight="1" x14ac:dyDescent="0.25">
      <c r="A55" s="258"/>
      <c r="B55" s="464"/>
      <c r="C55" s="111" t="s">
        <v>289</v>
      </c>
      <c r="D55" s="117" t="s">
        <v>330</v>
      </c>
      <c r="E55" s="116" t="s">
        <v>108</v>
      </c>
      <c r="F55" s="144">
        <f>15*4</f>
        <v>60</v>
      </c>
      <c r="G55" s="469"/>
      <c r="H55" s="469"/>
      <c r="I55" s="229">
        <f>H55+G55</f>
        <v>0</v>
      </c>
      <c r="J55" s="229">
        <f>I55*F55</f>
        <v>0</v>
      </c>
      <c r="K55" s="464"/>
      <c r="L55" s="258"/>
    </row>
    <row r="56" spans="1:12" s="119" customFormat="1" ht="14.5" customHeight="1" thickBot="1" x14ac:dyDescent="0.35">
      <c r="A56" s="258"/>
      <c r="B56" s="464"/>
      <c r="C56" s="113">
        <v>5.4</v>
      </c>
      <c r="D56" s="141" t="s">
        <v>291</v>
      </c>
      <c r="E56" s="232" t="s">
        <v>61</v>
      </c>
      <c r="F56" s="232" t="s">
        <v>62</v>
      </c>
      <c r="G56" s="500" t="s">
        <v>63</v>
      </c>
      <c r="H56" s="500" t="s">
        <v>64</v>
      </c>
      <c r="I56" s="501" t="s">
        <v>65</v>
      </c>
      <c r="J56" s="501" t="s">
        <v>66</v>
      </c>
      <c r="K56" s="464"/>
      <c r="L56" s="258"/>
    </row>
    <row r="57" spans="1:12" s="119" customFormat="1" ht="28.5" customHeight="1" thickTop="1" x14ac:dyDescent="0.25">
      <c r="A57" s="258"/>
      <c r="B57" s="464"/>
      <c r="C57" s="113"/>
      <c r="D57" s="117" t="s">
        <v>292</v>
      </c>
      <c r="E57" s="156" t="s">
        <v>35</v>
      </c>
      <c r="F57" s="156" t="s">
        <v>36</v>
      </c>
      <c r="G57" s="485" t="s">
        <v>325</v>
      </c>
      <c r="H57" s="486" t="s">
        <v>252</v>
      </c>
      <c r="I57" s="487" t="s">
        <v>253</v>
      </c>
      <c r="J57" s="503" t="s">
        <v>254</v>
      </c>
      <c r="K57" s="464"/>
      <c r="L57" s="258"/>
    </row>
    <row r="58" spans="1:12" s="119" customFormat="1" ht="28" customHeight="1" x14ac:dyDescent="0.25">
      <c r="A58" s="258"/>
      <c r="B58" s="464"/>
      <c r="C58" s="121"/>
      <c r="D58" s="117" t="s">
        <v>174</v>
      </c>
      <c r="E58" s="642"/>
      <c r="F58" s="545"/>
      <c r="G58" s="546"/>
      <c r="H58" s="546"/>
      <c r="I58" s="545"/>
      <c r="J58" s="552"/>
      <c r="K58" s="464"/>
      <c r="L58" s="258"/>
    </row>
    <row r="59" spans="1:12" s="474" customFormat="1" ht="14.15" customHeight="1" x14ac:dyDescent="0.25">
      <c r="A59" s="258"/>
      <c r="B59" s="475"/>
      <c r="C59" s="111" t="s">
        <v>293</v>
      </c>
      <c r="D59" s="117" t="s">
        <v>282</v>
      </c>
      <c r="E59" s="116" t="s">
        <v>85</v>
      </c>
      <c r="F59" s="111">
        <v>10</v>
      </c>
      <c r="G59" s="469"/>
      <c r="H59" s="469"/>
      <c r="I59" s="229">
        <f>H59+G59</f>
        <v>0</v>
      </c>
      <c r="J59" s="229">
        <f>I59*F59</f>
        <v>0</v>
      </c>
      <c r="K59" s="464"/>
      <c r="L59" s="476"/>
    </row>
    <row r="60" spans="1:12" s="474" customFormat="1" ht="14.15" customHeight="1" x14ac:dyDescent="0.25">
      <c r="A60" s="258"/>
      <c r="B60" s="475"/>
      <c r="C60" s="111" t="s">
        <v>294</v>
      </c>
      <c r="D60" s="117" t="s">
        <v>350</v>
      </c>
      <c r="E60" s="116" t="s">
        <v>85</v>
      </c>
      <c r="F60" s="111">
        <v>1</v>
      </c>
      <c r="G60" s="469"/>
      <c r="H60" s="469"/>
      <c r="I60" s="229">
        <f>H60+G60</f>
        <v>0</v>
      </c>
      <c r="J60" s="239"/>
      <c r="K60" s="464"/>
      <c r="L60" s="476"/>
    </row>
    <row r="61" spans="1:12" s="474" customFormat="1" ht="14.15" customHeight="1" x14ac:dyDescent="0.25">
      <c r="A61" s="258"/>
      <c r="B61" s="475"/>
      <c r="C61" s="111" t="s">
        <v>295</v>
      </c>
      <c r="D61" s="117" t="s">
        <v>177</v>
      </c>
      <c r="E61" s="116" t="s">
        <v>85</v>
      </c>
      <c r="F61" s="111">
        <v>10</v>
      </c>
      <c r="G61" s="469"/>
      <c r="H61" s="469"/>
      <c r="I61" s="229">
        <f>H61+G61</f>
        <v>0</v>
      </c>
      <c r="J61" s="229">
        <f>I61*F61</f>
        <v>0</v>
      </c>
      <c r="K61" s="464"/>
      <c r="L61" s="476"/>
    </row>
    <row r="62" spans="1:12" s="474" customFormat="1" ht="14.15" customHeight="1" x14ac:dyDescent="0.25">
      <c r="A62" s="258"/>
      <c r="B62" s="475"/>
      <c r="C62" s="111" t="s">
        <v>296</v>
      </c>
      <c r="D62" s="117" t="s">
        <v>297</v>
      </c>
      <c r="E62" s="116" t="s">
        <v>85</v>
      </c>
      <c r="F62" s="111">
        <v>10</v>
      </c>
      <c r="G62" s="469"/>
      <c r="H62" s="469"/>
      <c r="I62" s="229">
        <f>H62+G62</f>
        <v>0</v>
      </c>
      <c r="J62" s="229">
        <f>I62*F62</f>
        <v>0</v>
      </c>
      <c r="K62" s="464"/>
      <c r="L62" s="476"/>
    </row>
    <row r="63" spans="1:12" s="119" customFormat="1" ht="14.5" customHeight="1" thickBot="1" x14ac:dyDescent="0.35">
      <c r="A63" s="258"/>
      <c r="B63" s="464"/>
      <c r="C63" s="113">
        <v>5.5</v>
      </c>
      <c r="D63" s="141" t="s">
        <v>298</v>
      </c>
      <c r="E63" s="232" t="s">
        <v>61</v>
      </c>
      <c r="F63" s="232" t="s">
        <v>62</v>
      </c>
      <c r="G63" s="500" t="s">
        <v>63</v>
      </c>
      <c r="H63" s="500" t="s">
        <v>64</v>
      </c>
      <c r="I63" s="501" t="s">
        <v>65</v>
      </c>
      <c r="J63" s="501" t="s">
        <v>66</v>
      </c>
      <c r="K63" s="464"/>
      <c r="L63" s="258"/>
    </row>
    <row r="64" spans="1:12" s="119" customFormat="1" ht="28.5" customHeight="1" thickTop="1" x14ac:dyDescent="0.25">
      <c r="A64" s="258"/>
      <c r="B64" s="464"/>
      <c r="C64" s="113"/>
      <c r="D64" s="117"/>
      <c r="E64" s="156" t="s">
        <v>35</v>
      </c>
      <c r="F64" s="156" t="s">
        <v>36</v>
      </c>
      <c r="G64" s="485" t="s">
        <v>325</v>
      </c>
      <c r="H64" s="486" t="s">
        <v>252</v>
      </c>
      <c r="I64" s="487" t="s">
        <v>253</v>
      </c>
      <c r="J64" s="503" t="s">
        <v>254</v>
      </c>
      <c r="K64" s="464"/>
      <c r="L64" s="258"/>
    </row>
    <row r="65" spans="1:12" s="119" customFormat="1" ht="28" customHeight="1" x14ac:dyDescent="0.25">
      <c r="A65" s="258"/>
      <c r="B65" s="464"/>
      <c r="C65" s="111" t="s">
        <v>299</v>
      </c>
      <c r="D65" s="117" t="s">
        <v>199</v>
      </c>
      <c r="E65" s="116" t="s">
        <v>108</v>
      </c>
      <c r="F65" s="111">
        <f>20*2</f>
        <v>40</v>
      </c>
      <c r="G65" s="469"/>
      <c r="H65" s="469"/>
      <c r="I65" s="229">
        <f>H65+G65</f>
        <v>0</v>
      </c>
      <c r="J65" s="229">
        <f>I65*F65</f>
        <v>0</v>
      </c>
      <c r="K65" s="464"/>
      <c r="L65" s="258"/>
    </row>
    <row r="66" spans="1:12" s="119" customFormat="1" ht="28" customHeight="1" x14ac:dyDescent="0.25">
      <c r="A66" s="258"/>
      <c r="B66" s="464"/>
      <c r="C66" s="111" t="s">
        <v>300</v>
      </c>
      <c r="D66" s="117" t="s">
        <v>301</v>
      </c>
      <c r="E66" s="116" t="s">
        <v>42</v>
      </c>
      <c r="F66" s="111">
        <v>1</v>
      </c>
      <c r="G66" s="469"/>
      <c r="H66" s="469"/>
      <c r="I66" s="229">
        <f>H66+G66</f>
        <v>0</v>
      </c>
      <c r="J66" s="229">
        <f>I66*F66</f>
        <v>0</v>
      </c>
      <c r="K66" s="464"/>
      <c r="L66" s="258"/>
    </row>
    <row r="67" spans="1:12" s="119" customFormat="1" ht="14.15" customHeight="1" x14ac:dyDescent="0.25">
      <c r="A67" s="258"/>
      <c r="B67" s="464"/>
      <c r="C67" s="113">
        <v>5.6</v>
      </c>
      <c r="D67" s="141" t="s">
        <v>302</v>
      </c>
      <c r="E67" s="225"/>
      <c r="F67" s="225"/>
      <c r="G67" s="504"/>
      <c r="H67" s="504"/>
      <c r="I67" s="226"/>
      <c r="J67" s="226"/>
      <c r="K67" s="464"/>
      <c r="L67" s="258"/>
    </row>
    <row r="68" spans="1:12" s="119" customFormat="1" ht="30.65" customHeight="1" x14ac:dyDescent="0.25">
      <c r="A68" s="258"/>
      <c r="B68" s="464"/>
      <c r="C68" s="113"/>
      <c r="D68" s="117" t="s">
        <v>303</v>
      </c>
      <c r="E68" s="553"/>
      <c r="F68" s="545"/>
      <c r="G68" s="546"/>
      <c r="H68" s="546"/>
      <c r="I68" s="545"/>
      <c r="J68" s="552"/>
      <c r="K68" s="464"/>
      <c r="L68" s="258"/>
    </row>
    <row r="69" spans="1:12" s="119" customFormat="1" ht="41.15" customHeight="1" x14ac:dyDescent="0.25">
      <c r="A69" s="258"/>
      <c r="B69" s="464"/>
      <c r="C69" s="111" t="s">
        <v>304</v>
      </c>
      <c r="D69" s="117" t="s">
        <v>305</v>
      </c>
      <c r="E69" s="116" t="s">
        <v>108</v>
      </c>
      <c r="F69" s="111">
        <v>20</v>
      </c>
      <c r="G69" s="469"/>
      <c r="H69" s="469"/>
      <c r="I69" s="229">
        <f t="shared" ref="I69:I74" si="2">H69+G69</f>
        <v>0</v>
      </c>
      <c r="J69" s="229">
        <f t="shared" ref="J69:J74" si="3">I69*F69</f>
        <v>0</v>
      </c>
      <c r="K69" s="464"/>
      <c r="L69" s="258"/>
    </row>
    <row r="70" spans="1:12" s="119" customFormat="1" ht="41.15" customHeight="1" x14ac:dyDescent="0.25">
      <c r="A70" s="258"/>
      <c r="B70" s="464"/>
      <c r="C70" s="111" t="s">
        <v>306</v>
      </c>
      <c r="D70" s="117" t="s">
        <v>307</v>
      </c>
      <c r="E70" s="116" t="s">
        <v>108</v>
      </c>
      <c r="F70" s="111">
        <v>20</v>
      </c>
      <c r="G70" s="469"/>
      <c r="H70" s="469"/>
      <c r="I70" s="229">
        <f t="shared" si="2"/>
        <v>0</v>
      </c>
      <c r="J70" s="229">
        <f t="shared" si="3"/>
        <v>0</v>
      </c>
      <c r="K70" s="464"/>
      <c r="L70" s="258"/>
    </row>
    <row r="71" spans="1:12" s="119" customFormat="1" ht="41.15" customHeight="1" x14ac:dyDescent="0.25">
      <c r="A71" s="258"/>
      <c r="B71" s="464"/>
      <c r="C71" s="111" t="s">
        <v>308</v>
      </c>
      <c r="D71" s="117" t="s">
        <v>309</v>
      </c>
      <c r="E71" s="116" t="s">
        <v>108</v>
      </c>
      <c r="F71" s="111">
        <v>20</v>
      </c>
      <c r="G71" s="469"/>
      <c r="H71" s="469"/>
      <c r="I71" s="229">
        <f t="shared" si="2"/>
        <v>0</v>
      </c>
      <c r="J71" s="229">
        <f t="shared" si="3"/>
        <v>0</v>
      </c>
      <c r="K71" s="464"/>
      <c r="L71" s="258"/>
    </row>
    <row r="72" spans="1:12" s="119" customFormat="1" ht="41.15" customHeight="1" x14ac:dyDescent="0.25">
      <c r="A72" s="258"/>
      <c r="B72" s="464"/>
      <c r="C72" s="111" t="s">
        <v>310</v>
      </c>
      <c r="D72" s="118" t="s">
        <v>311</v>
      </c>
      <c r="E72" s="116" t="s">
        <v>108</v>
      </c>
      <c r="F72" s="111">
        <v>20</v>
      </c>
      <c r="G72" s="469"/>
      <c r="H72" s="469"/>
      <c r="I72" s="229">
        <f t="shared" si="2"/>
        <v>0</v>
      </c>
      <c r="J72" s="229">
        <f t="shared" si="3"/>
        <v>0</v>
      </c>
      <c r="K72" s="464"/>
      <c r="L72" s="258"/>
    </row>
    <row r="73" spans="1:12" s="119" customFormat="1" ht="39" customHeight="1" x14ac:dyDescent="0.25">
      <c r="A73" s="258"/>
      <c r="B73" s="464"/>
      <c r="C73" s="111" t="s">
        <v>312</v>
      </c>
      <c r="D73" s="118" t="s">
        <v>313</v>
      </c>
      <c r="E73" s="116" t="s">
        <v>108</v>
      </c>
      <c r="F73" s="111">
        <v>20</v>
      </c>
      <c r="G73" s="469"/>
      <c r="H73" s="469"/>
      <c r="I73" s="229">
        <f t="shared" si="2"/>
        <v>0</v>
      </c>
      <c r="J73" s="229">
        <f t="shared" si="3"/>
        <v>0</v>
      </c>
      <c r="K73" s="464"/>
      <c r="L73" s="258"/>
    </row>
    <row r="74" spans="1:12" s="119" customFormat="1" ht="37.4" customHeight="1" x14ac:dyDescent="0.25">
      <c r="A74" s="258"/>
      <c r="B74" s="464"/>
      <c r="C74" s="111" t="s">
        <v>314</v>
      </c>
      <c r="D74" s="117" t="s">
        <v>315</v>
      </c>
      <c r="E74" s="116" t="s">
        <v>108</v>
      </c>
      <c r="F74" s="111">
        <v>20</v>
      </c>
      <c r="G74" s="469"/>
      <c r="H74" s="469"/>
      <c r="I74" s="229">
        <f t="shared" si="2"/>
        <v>0</v>
      </c>
      <c r="J74" s="229">
        <f t="shared" si="3"/>
        <v>0</v>
      </c>
      <c r="K74" s="464"/>
      <c r="L74" s="258"/>
    </row>
    <row r="75" spans="1:12" s="119" customFormat="1" ht="16.5" customHeight="1" thickBot="1" x14ac:dyDescent="0.35">
      <c r="A75" s="258"/>
      <c r="B75" s="464"/>
      <c r="C75" s="138">
        <v>6</v>
      </c>
      <c r="D75" s="141" t="s">
        <v>316</v>
      </c>
      <c r="E75" s="232" t="s">
        <v>61</v>
      </c>
      <c r="F75" s="232" t="s">
        <v>62</v>
      </c>
      <c r="G75" s="500" t="s">
        <v>63</v>
      </c>
      <c r="H75" s="500" t="s">
        <v>64</v>
      </c>
      <c r="I75" s="501" t="s">
        <v>65</v>
      </c>
      <c r="J75" s="501" t="s">
        <v>66</v>
      </c>
      <c r="K75" s="464"/>
      <c r="L75" s="258"/>
    </row>
    <row r="76" spans="1:12" s="119" customFormat="1" ht="28.5" customHeight="1" thickTop="1" x14ac:dyDescent="0.25">
      <c r="A76" s="258"/>
      <c r="B76" s="464"/>
      <c r="C76" s="113"/>
      <c r="D76" s="125"/>
      <c r="E76" s="156" t="s">
        <v>35</v>
      </c>
      <c r="F76" s="156" t="s">
        <v>36</v>
      </c>
      <c r="G76" s="485" t="s">
        <v>325</v>
      </c>
      <c r="H76" s="486" t="s">
        <v>252</v>
      </c>
      <c r="I76" s="487" t="s">
        <v>253</v>
      </c>
      <c r="J76" s="503" t="s">
        <v>254</v>
      </c>
      <c r="K76" s="464"/>
      <c r="L76" s="258"/>
    </row>
    <row r="77" spans="1:12" s="119" customFormat="1" ht="53.15" customHeight="1" x14ac:dyDescent="0.25">
      <c r="A77" s="258"/>
      <c r="B77" s="464"/>
      <c r="C77" s="111">
        <v>6.1</v>
      </c>
      <c r="D77" s="117" t="s">
        <v>317</v>
      </c>
      <c r="E77" s="116" t="s">
        <v>42</v>
      </c>
      <c r="F77" s="111">
        <v>1</v>
      </c>
      <c r="G77" s="469"/>
      <c r="H77" s="469"/>
      <c r="I77" s="229">
        <f>H77+G77</f>
        <v>0</v>
      </c>
      <c r="J77" s="229">
        <f>I77*F77</f>
        <v>0</v>
      </c>
      <c r="K77" s="464"/>
      <c r="L77" s="258"/>
    </row>
    <row r="78" spans="1:12" s="119" customFormat="1" ht="26.15" customHeight="1" x14ac:dyDescent="0.25">
      <c r="A78" s="258"/>
      <c r="B78" s="464"/>
      <c r="C78" s="111">
        <v>6.2</v>
      </c>
      <c r="D78" s="117" t="s">
        <v>318</v>
      </c>
      <c r="E78" s="116" t="s">
        <v>42</v>
      </c>
      <c r="F78" s="111">
        <v>1</v>
      </c>
      <c r="G78" s="469"/>
      <c r="H78" s="469"/>
      <c r="I78" s="229">
        <f>H78+G78</f>
        <v>0</v>
      </c>
      <c r="J78" s="229">
        <f>I78*F78</f>
        <v>0</v>
      </c>
      <c r="K78" s="464"/>
      <c r="L78" s="258"/>
    </row>
    <row r="79" spans="1:12" s="119" customFormat="1" ht="26.15" customHeight="1" x14ac:dyDescent="0.25">
      <c r="A79" s="258"/>
      <c r="B79" s="464"/>
      <c r="C79" s="111">
        <v>6.3</v>
      </c>
      <c r="D79" s="117" t="s">
        <v>319</v>
      </c>
      <c r="E79" s="116" t="s">
        <v>42</v>
      </c>
      <c r="F79" s="111">
        <v>1</v>
      </c>
      <c r="G79" s="469"/>
      <c r="H79" s="469"/>
      <c r="I79" s="229">
        <f>H79+G79</f>
        <v>0</v>
      </c>
      <c r="J79" s="229">
        <f>I79*F79</f>
        <v>0</v>
      </c>
      <c r="K79" s="464"/>
      <c r="L79" s="258"/>
    </row>
    <row r="80" spans="1:12" s="119" customFormat="1" ht="26.15" customHeight="1" x14ac:dyDescent="0.25">
      <c r="A80" s="258"/>
      <c r="B80" s="464"/>
      <c r="C80" s="111">
        <v>6.4</v>
      </c>
      <c r="D80" s="117" t="s">
        <v>320</v>
      </c>
      <c r="E80" s="116" t="s">
        <v>42</v>
      </c>
      <c r="F80" s="111">
        <v>1</v>
      </c>
      <c r="G80" s="469"/>
      <c r="H80" s="469"/>
      <c r="I80" s="229">
        <f>H80+G80</f>
        <v>0</v>
      </c>
      <c r="J80" s="229">
        <f>I80*F80</f>
        <v>0</v>
      </c>
      <c r="K80" s="464"/>
      <c r="L80" s="258"/>
    </row>
    <row r="81" spans="1:12" s="119" customFormat="1" ht="14.15" customHeight="1" x14ac:dyDescent="0.25">
      <c r="A81" s="258"/>
      <c r="B81" s="464"/>
      <c r="C81" s="138">
        <v>7</v>
      </c>
      <c r="D81" s="141" t="s">
        <v>321</v>
      </c>
      <c r="E81" s="225"/>
      <c r="F81" s="225"/>
      <c r="G81" s="504"/>
      <c r="H81" s="504"/>
      <c r="I81" s="226"/>
      <c r="J81" s="226"/>
      <c r="K81" s="464"/>
      <c r="L81" s="258"/>
    </row>
    <row r="82" spans="1:12" s="119" customFormat="1" ht="28.5" customHeight="1" thickBot="1" x14ac:dyDescent="0.3">
      <c r="A82" s="258"/>
      <c r="B82" s="464"/>
      <c r="C82" s="111">
        <v>7.1</v>
      </c>
      <c r="D82" s="117" t="s">
        <v>450</v>
      </c>
      <c r="E82" s="111" t="s">
        <v>42</v>
      </c>
      <c r="F82" s="111">
        <v>1</v>
      </c>
      <c r="G82" s="469"/>
      <c r="H82" s="469"/>
      <c r="I82" s="229">
        <f>H82+G82</f>
        <v>0</v>
      </c>
      <c r="J82" s="231">
        <f>I82*F82</f>
        <v>0</v>
      </c>
      <c r="K82" s="464"/>
      <c r="L82" s="258"/>
    </row>
    <row r="83" spans="1:12" s="119" customFormat="1" ht="18.75" customHeight="1" thickBot="1" x14ac:dyDescent="0.3">
      <c r="A83" s="258"/>
      <c r="B83" s="464"/>
      <c r="C83" s="111"/>
      <c r="D83" s="230" t="s">
        <v>360</v>
      </c>
      <c r="E83" s="544"/>
      <c r="F83" s="545"/>
      <c r="G83" s="546"/>
      <c r="H83" s="546"/>
      <c r="I83" s="545"/>
      <c r="J83" s="507">
        <f>SUM(J16:J82)</f>
        <v>0</v>
      </c>
      <c r="K83" s="464"/>
      <c r="L83" s="258"/>
    </row>
    <row r="84" spans="1:12" s="162" customFormat="1" ht="28.5" customHeight="1" thickBot="1" x14ac:dyDescent="0.3">
      <c r="A84" s="258"/>
      <c r="B84" s="258"/>
      <c r="C84" s="532" t="s">
        <v>456</v>
      </c>
      <c r="D84" s="533"/>
      <c r="E84" s="533"/>
      <c r="F84" s="533"/>
      <c r="G84" s="533"/>
      <c r="H84" s="533"/>
      <c r="I84" s="533"/>
      <c r="J84" s="534"/>
      <c r="K84" s="258"/>
      <c r="L84" s="258"/>
    </row>
    <row r="85" spans="1:12" ht="18.75" customHeight="1" x14ac:dyDescent="0.25">
      <c r="A85" s="258"/>
      <c r="B85" s="258"/>
      <c r="C85" s="535" t="s">
        <v>459</v>
      </c>
      <c r="D85" s="536"/>
      <c r="E85" s="536"/>
      <c r="F85" s="536"/>
      <c r="G85" s="536"/>
      <c r="H85" s="536"/>
      <c r="I85" s="536"/>
      <c r="J85" s="537"/>
      <c r="K85" s="258"/>
      <c r="L85" s="258"/>
    </row>
    <row r="86" spans="1:12" ht="18.75" customHeight="1" x14ac:dyDescent="0.25">
      <c r="A86" s="258"/>
      <c r="B86" s="258"/>
      <c r="C86" s="538"/>
      <c r="D86" s="539"/>
      <c r="E86" s="539"/>
      <c r="F86" s="539"/>
      <c r="G86" s="539"/>
      <c r="H86" s="539"/>
      <c r="I86" s="539"/>
      <c r="J86" s="540"/>
      <c r="K86" s="258"/>
      <c r="L86" s="258"/>
    </row>
    <row r="87" spans="1:12" ht="18.75" customHeight="1" x14ac:dyDescent="0.25">
      <c r="A87" s="258"/>
      <c r="B87" s="258"/>
      <c r="C87" s="538"/>
      <c r="D87" s="539"/>
      <c r="E87" s="539"/>
      <c r="F87" s="539"/>
      <c r="G87" s="539"/>
      <c r="H87" s="539"/>
      <c r="I87" s="539"/>
      <c r="J87" s="540"/>
      <c r="K87" s="258"/>
      <c r="L87" s="258"/>
    </row>
    <row r="88" spans="1:12" s="8" customFormat="1" ht="18.75" customHeight="1" x14ac:dyDescent="0.25">
      <c r="A88" s="258"/>
      <c r="B88" s="492"/>
      <c r="C88" s="538"/>
      <c r="D88" s="539"/>
      <c r="E88" s="539"/>
      <c r="F88" s="539"/>
      <c r="G88" s="539"/>
      <c r="H88" s="539"/>
      <c r="I88" s="539"/>
      <c r="J88" s="540"/>
      <c r="K88" s="286"/>
      <c r="L88" s="258"/>
    </row>
    <row r="89" spans="1:12" s="8" customFormat="1" ht="101.25" customHeight="1" thickBot="1" x14ac:dyDescent="0.3">
      <c r="A89" s="258"/>
      <c r="B89" s="492"/>
      <c r="C89" s="541"/>
      <c r="D89" s="542"/>
      <c r="E89" s="542"/>
      <c r="F89" s="542"/>
      <c r="G89" s="542"/>
      <c r="H89" s="542"/>
      <c r="I89" s="542"/>
      <c r="J89" s="543"/>
      <c r="K89" s="286"/>
      <c r="L89" s="258"/>
    </row>
    <row r="90" spans="1:12" s="8" customFormat="1" ht="18.75" customHeight="1" x14ac:dyDescent="0.25">
      <c r="A90" s="258"/>
      <c r="B90" s="492"/>
      <c r="C90" s="35"/>
      <c r="D90" s="45"/>
      <c r="E90" s="35"/>
      <c r="F90" s="35"/>
      <c r="G90" s="258"/>
      <c r="H90" s="258"/>
      <c r="I90" s="295"/>
      <c r="J90" s="295"/>
      <c r="K90" s="286"/>
      <c r="L90" s="258"/>
    </row>
    <row r="91" spans="1:12" s="8" customFormat="1" ht="18.75" customHeight="1" x14ac:dyDescent="0.25">
      <c r="A91" s="258"/>
      <c r="B91" s="492"/>
      <c r="C91" s="35"/>
      <c r="D91" s="45"/>
      <c r="E91" s="35"/>
      <c r="F91" s="35"/>
      <c r="G91" s="258"/>
      <c r="H91" s="258"/>
      <c r="I91" s="295"/>
      <c r="J91" s="295"/>
      <c r="K91" s="286"/>
      <c r="L91" s="258"/>
    </row>
    <row r="92" spans="1:12" s="8" customFormat="1" ht="18.75" customHeight="1" x14ac:dyDescent="0.25">
      <c r="A92" s="258"/>
      <c r="B92" s="492"/>
      <c r="C92" s="35"/>
      <c r="D92" s="45"/>
      <c r="E92" s="35"/>
      <c r="F92" s="35"/>
      <c r="G92" s="258"/>
      <c r="H92" s="258"/>
      <c r="I92" s="295"/>
      <c r="J92" s="295"/>
      <c r="K92" s="286"/>
      <c r="L92" s="258"/>
    </row>
    <row r="93" spans="1:12" s="8" customFormat="1" ht="18.75" customHeight="1" x14ac:dyDescent="0.25">
      <c r="A93" s="258"/>
      <c r="B93" s="492"/>
      <c r="C93" s="35"/>
      <c r="D93" s="45"/>
      <c r="E93" s="35"/>
      <c r="F93" s="35"/>
      <c r="G93" s="258"/>
      <c r="H93" s="258"/>
      <c r="I93" s="295"/>
      <c r="J93" s="295"/>
      <c r="K93" s="286"/>
      <c r="L93" s="258"/>
    </row>
    <row r="94" spans="1:12" s="8" customFormat="1" ht="18.75" customHeight="1" x14ac:dyDescent="0.25">
      <c r="A94" s="258"/>
      <c r="B94" s="492"/>
      <c r="C94" s="35"/>
      <c r="D94" s="45"/>
      <c r="E94" s="35"/>
      <c r="F94" s="35"/>
      <c r="G94" s="258"/>
      <c r="H94" s="258"/>
      <c r="I94" s="295"/>
      <c r="J94" s="295"/>
      <c r="K94" s="286"/>
      <c r="L94" s="258"/>
    </row>
    <row r="95" spans="1:12" s="8" customFormat="1" ht="18.75" customHeight="1" x14ac:dyDescent="0.25">
      <c r="A95" s="258"/>
      <c r="B95" s="492"/>
      <c r="C95" s="35"/>
      <c r="D95" s="45"/>
      <c r="E95" s="35"/>
      <c r="F95" s="35"/>
      <c r="G95" s="258"/>
      <c r="H95" s="258"/>
      <c r="I95" s="295"/>
      <c r="J95" s="295"/>
      <c r="K95" s="286"/>
      <c r="L95" s="258"/>
    </row>
    <row r="96" spans="1:12" s="8" customFormat="1" ht="18.75" customHeight="1" x14ac:dyDescent="0.25">
      <c r="A96" s="258"/>
      <c r="B96" s="492"/>
      <c r="C96" s="35"/>
      <c r="D96" s="45"/>
      <c r="E96" s="35"/>
      <c r="F96" s="35"/>
      <c r="G96" s="258"/>
      <c r="H96" s="258"/>
      <c r="I96" s="295"/>
      <c r="J96" s="295"/>
      <c r="K96" s="286"/>
      <c r="L96" s="258"/>
    </row>
  </sheetData>
  <sheetProtection algorithmName="SHA-512" hashValue="Y0b2jmsgaVqYQGYawBz2qKqYO2qGkUP2cME/QwokWhTxqZP/I7j2A3XqZ1xhIVxnmI86+W4HvcbEYEviuINTBA==" saltValue="vE6U9tsGjgK7W5cjDT67/g==" spinCount="100000" sheet="1" objects="1" scenarios="1"/>
  <mergeCells count="12">
    <mergeCell ref="H1:J6"/>
    <mergeCell ref="C84:J84"/>
    <mergeCell ref="C85:J89"/>
    <mergeCell ref="C7:J7"/>
    <mergeCell ref="E83:I83"/>
    <mergeCell ref="E58:J58"/>
    <mergeCell ref="C9:J9"/>
    <mergeCell ref="E46:J46"/>
    <mergeCell ref="C8:J8"/>
    <mergeCell ref="E68:J68"/>
    <mergeCell ref="E54:J54"/>
    <mergeCell ref="E11:J13"/>
  </mergeCells>
  <pageMargins left="0.45" right="0.45" top="0.5" bottom="0.5" header="0.3" footer="0.3"/>
  <pageSetup paperSize="9" scale="50" fitToHeight="0"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rowBreaks count="2" manualBreakCount="2">
    <brk id="29" min="1" max="10" man="1"/>
    <brk id="62" min="1" max="10"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A1:L80"/>
  <sheetViews>
    <sheetView tabSelected="1" view="pageBreakPreview" topLeftCell="A50" zoomScale="55" zoomScaleNormal="90" zoomScaleSheetLayoutView="55" workbookViewId="0">
      <selection activeCell="E11" sqref="E11:J13"/>
    </sheetView>
  </sheetViews>
  <sheetFormatPr defaultColWidth="8.54296875" defaultRowHeight="12.5" x14ac:dyDescent="0.25"/>
  <cols>
    <col min="2" max="2" width="3.1796875" style="162" customWidth="1"/>
    <col min="3" max="3" width="16.453125" style="35" customWidth="1"/>
    <col min="4" max="4" width="81.453125" style="45" customWidth="1"/>
    <col min="5" max="5" width="7.54296875" style="35" customWidth="1"/>
    <col min="6" max="6" width="14.453125" style="35" customWidth="1"/>
    <col min="7" max="7" width="17.453125" style="8" customWidth="1"/>
    <col min="8" max="8" width="13.81640625" style="8" customWidth="1"/>
    <col min="9" max="9" width="15.54296875" style="295" customWidth="1"/>
    <col min="10" max="10" width="16.81640625" style="295" bestFit="1" customWidth="1"/>
    <col min="11" max="11" width="2.54296875" style="162" customWidth="1"/>
  </cols>
  <sheetData>
    <row r="1" spans="1:12" x14ac:dyDescent="0.25">
      <c r="H1" s="530" t="e" vm="1">
        <v>#VALUE!</v>
      </c>
      <c r="I1" s="530"/>
      <c r="J1" s="530"/>
    </row>
    <row r="2" spans="1:12" x14ac:dyDescent="0.25">
      <c r="H2" s="530"/>
      <c r="I2" s="530"/>
      <c r="J2" s="530"/>
    </row>
    <row r="3" spans="1:12" x14ac:dyDescent="0.25">
      <c r="H3" s="530"/>
      <c r="I3" s="530"/>
      <c r="J3" s="530"/>
    </row>
    <row r="4" spans="1:12" x14ac:dyDescent="0.25">
      <c r="H4" s="530"/>
      <c r="I4" s="530"/>
      <c r="J4" s="530"/>
    </row>
    <row r="5" spans="1:12" x14ac:dyDescent="0.25">
      <c r="H5" s="531"/>
      <c r="I5" s="531"/>
      <c r="J5" s="531"/>
    </row>
    <row r="6" spans="1:12" ht="15.65" customHeight="1" x14ac:dyDescent="0.35">
      <c r="A6" s="258"/>
      <c r="B6" s="258"/>
      <c r="C6" s="551" t="s">
        <v>0</v>
      </c>
      <c r="D6" s="545"/>
      <c r="E6" s="545"/>
      <c r="F6" s="545"/>
      <c r="G6" s="546"/>
      <c r="H6" s="546"/>
      <c r="I6" s="545"/>
      <c r="J6" s="552"/>
      <c r="K6" s="459"/>
      <c r="L6" s="299"/>
    </row>
    <row r="7" spans="1:12" ht="15.65" customHeight="1" x14ac:dyDescent="0.35">
      <c r="A7" s="258"/>
      <c r="B7" s="258"/>
      <c r="C7" s="566" t="str">
        <f>'SECTION 1-P&amp;G'!C8</f>
        <v>ACSA KSIA POWER FACTOR CORRECTION UPGRADE</v>
      </c>
      <c r="D7" s="545"/>
      <c r="E7" s="545"/>
      <c r="F7" s="545"/>
      <c r="G7" s="546"/>
      <c r="H7" s="546"/>
      <c r="I7" s="545"/>
      <c r="J7" s="552"/>
      <c r="K7" s="459"/>
      <c r="L7" s="299"/>
    </row>
    <row r="8" spans="1:12" ht="16" customHeight="1" thickBot="1" x14ac:dyDescent="0.4">
      <c r="A8" s="258"/>
      <c r="B8" s="258"/>
      <c r="C8" s="547" t="s">
        <v>402</v>
      </c>
      <c r="D8" s="548"/>
      <c r="E8" s="548"/>
      <c r="F8" s="548"/>
      <c r="G8" s="549"/>
      <c r="H8" s="549"/>
      <c r="I8" s="548"/>
      <c r="J8" s="550"/>
      <c r="K8" s="459"/>
      <c r="L8" s="299"/>
    </row>
    <row r="9" spans="1:12" ht="18.75" customHeight="1" thickTop="1" thickBot="1" x14ac:dyDescent="0.35">
      <c r="A9" s="258"/>
      <c r="B9" s="258"/>
      <c r="C9" s="32"/>
      <c r="D9" s="43"/>
      <c r="E9" s="199" t="s">
        <v>61</v>
      </c>
      <c r="F9" s="199" t="s">
        <v>62</v>
      </c>
      <c r="G9" s="508" t="s">
        <v>63</v>
      </c>
      <c r="H9" s="508" t="s">
        <v>64</v>
      </c>
      <c r="I9" s="509" t="s">
        <v>65</v>
      </c>
      <c r="J9" s="510" t="s">
        <v>66</v>
      </c>
      <c r="K9" s="258"/>
      <c r="L9" s="258"/>
    </row>
    <row r="10" spans="1:12" ht="45.75" customHeight="1" thickTop="1" x14ac:dyDescent="0.25">
      <c r="A10" s="258"/>
      <c r="B10" s="258"/>
      <c r="C10" s="186" t="s">
        <v>324</v>
      </c>
      <c r="D10" s="188" t="s">
        <v>4</v>
      </c>
      <c r="E10" s="33" t="s">
        <v>35</v>
      </c>
      <c r="F10" s="33" t="s">
        <v>36</v>
      </c>
      <c r="G10" s="314" t="s">
        <v>325</v>
      </c>
      <c r="H10" s="317" t="s">
        <v>252</v>
      </c>
      <c r="I10" s="480" t="s">
        <v>253</v>
      </c>
      <c r="J10" s="493" t="s">
        <v>254</v>
      </c>
      <c r="K10" s="258"/>
      <c r="L10" s="258"/>
    </row>
    <row r="11" spans="1:12" ht="27.65" customHeight="1" x14ac:dyDescent="0.25">
      <c r="A11" s="258"/>
      <c r="B11" s="258"/>
      <c r="C11" s="138"/>
      <c r="D11" s="114" t="s">
        <v>247</v>
      </c>
      <c r="E11" s="554"/>
      <c r="F11" s="555"/>
      <c r="G11" s="556"/>
      <c r="H11" s="556"/>
      <c r="I11" s="555"/>
      <c r="J11" s="557"/>
      <c r="K11" s="258"/>
      <c r="L11" s="258"/>
    </row>
    <row r="12" spans="1:12" ht="28" customHeight="1" x14ac:dyDescent="0.3">
      <c r="A12" s="258"/>
      <c r="B12" s="258"/>
      <c r="C12" s="113"/>
      <c r="D12" s="110" t="s">
        <v>248</v>
      </c>
      <c r="E12" s="558"/>
      <c r="F12" s="559"/>
      <c r="G12" s="560"/>
      <c r="H12" s="560"/>
      <c r="I12" s="530"/>
      <c r="J12" s="561"/>
      <c r="K12" s="258"/>
      <c r="L12" s="258"/>
    </row>
    <row r="13" spans="1:12" ht="28" customHeight="1" x14ac:dyDescent="0.3">
      <c r="A13" s="258"/>
      <c r="B13" s="258"/>
      <c r="C13" s="113"/>
      <c r="D13" s="110" t="s">
        <v>249</v>
      </c>
      <c r="E13" s="562"/>
      <c r="F13" s="563"/>
      <c r="G13" s="564"/>
      <c r="H13" s="564"/>
      <c r="I13" s="563"/>
      <c r="J13" s="565"/>
      <c r="K13" s="258"/>
      <c r="L13" s="258"/>
    </row>
    <row r="14" spans="1:12" s="119" customFormat="1" ht="16.5" customHeight="1" thickBot="1" x14ac:dyDescent="0.35">
      <c r="A14" s="258"/>
      <c r="B14" s="464"/>
      <c r="C14" s="138">
        <v>1</v>
      </c>
      <c r="D14" s="141" t="s">
        <v>250</v>
      </c>
      <c r="E14" s="232" t="s">
        <v>61</v>
      </c>
      <c r="F14" s="232" t="s">
        <v>62</v>
      </c>
      <c r="G14" s="500" t="s">
        <v>63</v>
      </c>
      <c r="H14" s="500" t="s">
        <v>64</v>
      </c>
      <c r="I14" s="501" t="s">
        <v>65</v>
      </c>
      <c r="J14" s="501" t="s">
        <v>66</v>
      </c>
      <c r="K14" s="464"/>
      <c r="L14" s="258"/>
    </row>
    <row r="15" spans="1:12" s="119" customFormat="1" ht="28.5" customHeight="1" thickTop="1" x14ac:dyDescent="0.25">
      <c r="A15" s="258"/>
      <c r="B15" s="464"/>
      <c r="C15" s="113"/>
      <c r="D15" s="142"/>
      <c r="E15" s="156" t="s">
        <v>35</v>
      </c>
      <c r="F15" s="156" t="s">
        <v>36</v>
      </c>
      <c r="G15" s="485" t="s">
        <v>325</v>
      </c>
      <c r="H15" s="486" t="s">
        <v>252</v>
      </c>
      <c r="I15" s="487" t="s">
        <v>253</v>
      </c>
      <c r="J15" s="503" t="s">
        <v>254</v>
      </c>
      <c r="K15" s="464"/>
      <c r="L15" s="258"/>
    </row>
    <row r="16" spans="1:12" s="119" customFormat="1" ht="92.15" customHeight="1" x14ac:dyDescent="0.25">
      <c r="A16" s="258"/>
      <c r="B16" s="464"/>
      <c r="C16" s="111">
        <v>1.1000000000000001</v>
      </c>
      <c r="D16" s="118" t="s">
        <v>403</v>
      </c>
      <c r="E16" s="116" t="s">
        <v>42</v>
      </c>
      <c r="F16" s="111">
        <v>1</v>
      </c>
      <c r="G16" s="469"/>
      <c r="H16" s="469"/>
      <c r="I16" s="229">
        <f>H16+G16</f>
        <v>0</v>
      </c>
      <c r="J16" s="229">
        <f>I16*F16</f>
        <v>0</v>
      </c>
      <c r="K16" s="464"/>
      <c r="L16" s="258"/>
    </row>
    <row r="17" spans="1:12" s="119" customFormat="1" ht="100.4" customHeight="1" x14ac:dyDescent="0.25">
      <c r="A17" s="258"/>
      <c r="B17" s="464"/>
      <c r="C17" s="111">
        <v>1.2</v>
      </c>
      <c r="D17" s="118" t="s">
        <v>404</v>
      </c>
      <c r="E17" s="116" t="s">
        <v>42</v>
      </c>
      <c r="F17" s="111">
        <v>1</v>
      </c>
      <c r="G17" s="469"/>
      <c r="H17" s="469"/>
      <c r="I17" s="229">
        <f>H17+G17</f>
        <v>0</v>
      </c>
      <c r="J17" s="229">
        <f>I17*F17</f>
        <v>0</v>
      </c>
      <c r="K17" s="464"/>
      <c r="L17" s="258"/>
    </row>
    <row r="18" spans="1:12" ht="14.5" customHeight="1" thickBot="1" x14ac:dyDescent="0.35">
      <c r="A18" s="258"/>
      <c r="B18" s="258"/>
      <c r="C18" s="113"/>
      <c r="D18" s="112"/>
      <c r="E18" s="232" t="s">
        <v>61</v>
      </c>
      <c r="F18" s="232" t="s">
        <v>62</v>
      </c>
      <c r="G18" s="500" t="s">
        <v>63</v>
      </c>
      <c r="H18" s="500" t="s">
        <v>64</v>
      </c>
      <c r="I18" s="501" t="s">
        <v>65</v>
      </c>
      <c r="J18" s="501" t="s">
        <v>66</v>
      </c>
      <c r="K18" s="258"/>
      <c r="L18" s="258"/>
    </row>
    <row r="19" spans="1:12" ht="56.5" customHeight="1" thickTop="1" x14ac:dyDescent="0.3">
      <c r="A19" s="258"/>
      <c r="B19" s="258"/>
      <c r="C19" s="138">
        <v>2</v>
      </c>
      <c r="D19" s="152" t="s">
        <v>257</v>
      </c>
      <c r="E19" s="156" t="s">
        <v>35</v>
      </c>
      <c r="F19" s="156" t="s">
        <v>36</v>
      </c>
      <c r="G19" s="485" t="s">
        <v>325</v>
      </c>
      <c r="H19" s="486" t="s">
        <v>252</v>
      </c>
      <c r="I19" s="487" t="s">
        <v>253</v>
      </c>
      <c r="J19" s="503" t="s">
        <v>254</v>
      </c>
      <c r="K19" s="258"/>
      <c r="L19" s="258"/>
    </row>
    <row r="20" spans="1:12" s="119" customFormat="1" ht="66" customHeight="1" x14ac:dyDescent="0.25">
      <c r="A20" s="258"/>
      <c r="B20" s="464"/>
      <c r="C20" s="113">
        <v>2.1</v>
      </c>
      <c r="D20" s="139" t="s">
        <v>354</v>
      </c>
      <c r="E20" s="111" t="s">
        <v>90</v>
      </c>
      <c r="F20" s="111">
        <v>1</v>
      </c>
      <c r="G20" s="469"/>
      <c r="H20" s="469"/>
      <c r="I20" s="229">
        <f>H20+G20</f>
        <v>0</v>
      </c>
      <c r="J20" s="229">
        <f>I20*F20</f>
        <v>0</v>
      </c>
      <c r="K20" s="464"/>
      <c r="L20" s="258"/>
    </row>
    <row r="21" spans="1:12" s="119" customFormat="1" ht="82.5" customHeight="1" x14ac:dyDescent="0.25">
      <c r="A21" s="258"/>
      <c r="B21" s="464"/>
      <c r="C21" s="113">
        <v>2.2000000000000002</v>
      </c>
      <c r="D21" s="139" t="s">
        <v>355</v>
      </c>
      <c r="E21" s="111" t="s">
        <v>328</v>
      </c>
      <c r="F21" s="111" t="s">
        <v>261</v>
      </c>
      <c r="G21" s="469"/>
      <c r="H21" s="469"/>
      <c r="I21" s="229">
        <f>H21+G21</f>
        <v>0</v>
      </c>
      <c r="J21" s="239"/>
      <c r="K21" s="464"/>
      <c r="L21" s="258"/>
    </row>
    <row r="22" spans="1:12" s="119" customFormat="1" ht="16.5" customHeight="1" x14ac:dyDescent="0.25">
      <c r="A22" s="258"/>
      <c r="B22" s="464"/>
      <c r="C22" s="138">
        <v>3</v>
      </c>
      <c r="D22" s="141" t="s">
        <v>264</v>
      </c>
      <c r="E22" s="225"/>
      <c r="F22" s="225"/>
      <c r="G22" s="505"/>
      <c r="H22" s="505"/>
      <c r="I22" s="506"/>
      <c r="J22" s="506"/>
      <c r="K22" s="464"/>
      <c r="L22" s="258"/>
    </row>
    <row r="23" spans="1:12" s="119" customFormat="1" ht="39.65" customHeight="1" x14ac:dyDescent="0.25">
      <c r="A23" s="258"/>
      <c r="B23" s="464"/>
      <c r="C23" s="113">
        <v>3.1</v>
      </c>
      <c r="D23" s="140" t="s">
        <v>364</v>
      </c>
      <c r="E23" s="111" t="s">
        <v>328</v>
      </c>
      <c r="F23" s="122" t="s">
        <v>261</v>
      </c>
      <c r="G23" s="469"/>
      <c r="H23" s="469"/>
      <c r="I23" s="229">
        <f>H23+G23</f>
        <v>0</v>
      </c>
      <c r="J23" s="239"/>
      <c r="K23" s="464"/>
      <c r="L23" s="258"/>
    </row>
    <row r="24" spans="1:12" s="119" customFormat="1" ht="43.4" customHeight="1" x14ac:dyDescent="0.25">
      <c r="A24" s="258"/>
      <c r="B24" s="464"/>
      <c r="C24" s="113">
        <v>3.2</v>
      </c>
      <c r="D24" s="140" t="s">
        <v>357</v>
      </c>
      <c r="E24" s="111" t="s">
        <v>328</v>
      </c>
      <c r="F24" s="122">
        <v>3</v>
      </c>
      <c r="G24" s="469"/>
      <c r="H24" s="469"/>
      <c r="I24" s="229">
        <f>H24+G24</f>
        <v>0</v>
      </c>
      <c r="J24" s="229">
        <f>I24*F24</f>
        <v>0</v>
      </c>
      <c r="K24" s="464"/>
      <c r="L24" s="258"/>
    </row>
    <row r="25" spans="1:12" s="119" customFormat="1" ht="30.65" customHeight="1" x14ac:dyDescent="0.25">
      <c r="A25" s="258"/>
      <c r="B25" s="464"/>
      <c r="C25" s="113">
        <v>3.3</v>
      </c>
      <c r="D25" s="139" t="s">
        <v>269</v>
      </c>
      <c r="E25" s="122" t="s">
        <v>90</v>
      </c>
      <c r="F25" s="122">
        <v>1</v>
      </c>
      <c r="G25" s="469"/>
      <c r="H25" s="469"/>
      <c r="I25" s="229">
        <f>H25+G25</f>
        <v>0</v>
      </c>
      <c r="J25" s="229">
        <f>I25*F25</f>
        <v>0</v>
      </c>
      <c r="K25" s="464"/>
      <c r="L25" s="258"/>
    </row>
    <row r="26" spans="1:12" s="119" customFormat="1" ht="124" customHeight="1" x14ac:dyDescent="0.25">
      <c r="A26" s="258"/>
      <c r="B26" s="464"/>
      <c r="C26" s="113">
        <v>3.4</v>
      </c>
      <c r="D26" s="153" t="s">
        <v>270</v>
      </c>
      <c r="E26" s="122" t="s">
        <v>90</v>
      </c>
      <c r="F26" s="122">
        <v>1</v>
      </c>
      <c r="G26" s="469"/>
      <c r="H26" s="469"/>
      <c r="I26" s="229">
        <f>H26+G26</f>
        <v>0</v>
      </c>
      <c r="J26" s="229">
        <f>I26*F26</f>
        <v>0</v>
      </c>
      <c r="K26" s="464"/>
      <c r="L26" s="258"/>
    </row>
    <row r="27" spans="1:12" s="119" customFormat="1" ht="16.5" customHeight="1" x14ac:dyDescent="0.25">
      <c r="A27" s="258"/>
      <c r="B27" s="464"/>
      <c r="C27" s="138">
        <v>4</v>
      </c>
      <c r="D27" s="141" t="s">
        <v>272</v>
      </c>
      <c r="E27" s="225"/>
      <c r="F27" s="225"/>
      <c r="G27" s="505"/>
      <c r="H27" s="505"/>
      <c r="I27" s="506"/>
      <c r="J27" s="506"/>
      <c r="K27" s="464"/>
      <c r="L27" s="258"/>
    </row>
    <row r="28" spans="1:12" s="119" customFormat="1" ht="42" customHeight="1" x14ac:dyDescent="0.25">
      <c r="A28" s="258"/>
      <c r="B28" s="464"/>
      <c r="C28" s="113">
        <v>4.0999999999999996</v>
      </c>
      <c r="D28" s="139" t="s">
        <v>358</v>
      </c>
      <c r="E28" s="111" t="s">
        <v>90</v>
      </c>
      <c r="F28" s="111">
        <v>1</v>
      </c>
      <c r="G28" s="469"/>
      <c r="H28" s="469"/>
      <c r="I28" s="229">
        <f>H28+G28</f>
        <v>0</v>
      </c>
      <c r="J28" s="229">
        <f>I28*F28</f>
        <v>0</v>
      </c>
      <c r="K28" s="464"/>
      <c r="L28" s="258"/>
    </row>
    <row r="29" spans="1:12" s="119" customFormat="1" ht="56.25" customHeight="1" x14ac:dyDescent="0.25">
      <c r="A29" s="258"/>
      <c r="B29" s="464"/>
      <c r="C29" s="113">
        <v>4.2</v>
      </c>
      <c r="D29" s="139" t="s">
        <v>359</v>
      </c>
      <c r="E29" s="111" t="s">
        <v>90</v>
      </c>
      <c r="F29" s="111">
        <v>1</v>
      </c>
      <c r="G29" s="469"/>
      <c r="H29" s="469"/>
      <c r="I29" s="229">
        <f>H29+G29</f>
        <v>0</v>
      </c>
      <c r="J29" s="239"/>
      <c r="K29" s="464"/>
      <c r="L29" s="258"/>
    </row>
    <row r="30" spans="1:12" s="119" customFormat="1" ht="14.15" customHeight="1" x14ac:dyDescent="0.25">
      <c r="A30" s="258"/>
      <c r="B30" s="464"/>
      <c r="C30" s="113">
        <v>4.3</v>
      </c>
      <c r="D30" s="140" t="s">
        <v>276</v>
      </c>
      <c r="E30" s="111" t="s">
        <v>42</v>
      </c>
      <c r="F30" s="111">
        <v>1</v>
      </c>
      <c r="G30" s="469"/>
      <c r="H30" s="469"/>
      <c r="I30" s="229">
        <f>H30+G30</f>
        <v>0</v>
      </c>
      <c r="J30" s="229">
        <f>I30*F30</f>
        <v>0</v>
      </c>
      <c r="K30" s="464"/>
      <c r="L30" s="258"/>
    </row>
    <row r="31" spans="1:12" s="119" customFormat="1" ht="16.5" customHeight="1" x14ac:dyDescent="0.25">
      <c r="A31" s="258"/>
      <c r="B31" s="464"/>
      <c r="C31" s="138">
        <v>5</v>
      </c>
      <c r="D31" s="141" t="s">
        <v>277</v>
      </c>
      <c r="E31" s="225"/>
      <c r="F31" s="225"/>
      <c r="G31" s="505"/>
      <c r="H31" s="505"/>
      <c r="I31" s="506"/>
      <c r="J31" s="506"/>
      <c r="K31" s="464"/>
      <c r="L31" s="258"/>
    </row>
    <row r="32" spans="1:12" s="119" customFormat="1" ht="28" customHeight="1" x14ac:dyDescent="0.25">
      <c r="A32" s="258"/>
      <c r="B32" s="464"/>
      <c r="C32" s="113">
        <v>5.0999999999999996</v>
      </c>
      <c r="D32" s="142" t="s">
        <v>278</v>
      </c>
      <c r="E32" s="553"/>
      <c r="F32" s="545"/>
      <c r="G32" s="546"/>
      <c r="H32" s="546"/>
      <c r="I32" s="545"/>
      <c r="J32" s="552"/>
      <c r="K32" s="464"/>
      <c r="L32" s="258"/>
    </row>
    <row r="33" spans="1:12" s="119" customFormat="1" ht="28.5" customHeight="1" thickBot="1" x14ac:dyDescent="0.35">
      <c r="A33" s="258"/>
      <c r="B33" s="464"/>
      <c r="C33" s="113">
        <v>5.2</v>
      </c>
      <c r="D33" s="141" t="s">
        <v>279</v>
      </c>
      <c r="E33" s="232" t="s">
        <v>61</v>
      </c>
      <c r="F33" s="232" t="s">
        <v>62</v>
      </c>
      <c r="G33" s="500" t="s">
        <v>63</v>
      </c>
      <c r="H33" s="500" t="s">
        <v>64</v>
      </c>
      <c r="I33" s="501" t="s">
        <v>65</v>
      </c>
      <c r="J33" s="501" t="s">
        <v>66</v>
      </c>
      <c r="K33" s="464"/>
      <c r="L33" s="258"/>
    </row>
    <row r="34" spans="1:12" s="119" customFormat="1" ht="42.65" customHeight="1" thickTop="1" x14ac:dyDescent="0.25">
      <c r="A34" s="258"/>
      <c r="B34" s="464"/>
      <c r="C34" s="113"/>
      <c r="D34" s="115" t="s">
        <v>280</v>
      </c>
      <c r="E34" s="156" t="s">
        <v>35</v>
      </c>
      <c r="F34" s="156" t="s">
        <v>36</v>
      </c>
      <c r="G34" s="485" t="s">
        <v>325</v>
      </c>
      <c r="H34" s="486" t="s">
        <v>252</v>
      </c>
      <c r="I34" s="487" t="s">
        <v>253</v>
      </c>
      <c r="J34" s="503" t="s">
        <v>254</v>
      </c>
      <c r="K34" s="464"/>
      <c r="L34" s="258"/>
    </row>
    <row r="35" spans="1:12" s="119" customFormat="1" ht="14.15" customHeight="1" x14ac:dyDescent="0.25">
      <c r="A35" s="258"/>
      <c r="B35" s="464"/>
      <c r="C35" s="111" t="s">
        <v>281</v>
      </c>
      <c r="D35" s="117" t="s">
        <v>282</v>
      </c>
      <c r="E35" s="116" t="s">
        <v>108</v>
      </c>
      <c r="F35" s="111">
        <f>(20*1)*1.1</f>
        <v>22</v>
      </c>
      <c r="G35" s="469"/>
      <c r="H35" s="469"/>
      <c r="I35" s="229">
        <f>H35+G35</f>
        <v>0</v>
      </c>
      <c r="J35" s="229">
        <f>I35*F35</f>
        <v>0</v>
      </c>
      <c r="K35" s="464"/>
      <c r="L35" s="258"/>
    </row>
    <row r="36" spans="1:12" s="119" customFormat="1" ht="14.15" customHeight="1" x14ac:dyDescent="0.25">
      <c r="A36" s="258"/>
      <c r="B36" s="464"/>
      <c r="C36" s="111" t="s">
        <v>283</v>
      </c>
      <c r="D36" s="117" t="s">
        <v>405</v>
      </c>
      <c r="E36" s="116" t="s">
        <v>108</v>
      </c>
      <c r="F36" s="111">
        <v>1</v>
      </c>
      <c r="G36" s="469"/>
      <c r="H36" s="469"/>
      <c r="I36" s="229">
        <f>H36+G36</f>
        <v>0</v>
      </c>
      <c r="J36" s="239"/>
      <c r="K36" s="464"/>
      <c r="L36" s="258"/>
    </row>
    <row r="37" spans="1:12" s="119" customFormat="1" ht="14.15" customHeight="1" x14ac:dyDescent="0.25">
      <c r="A37" s="258"/>
      <c r="B37" s="464"/>
      <c r="C37" s="111" t="s">
        <v>285</v>
      </c>
      <c r="D37" s="117" t="s">
        <v>286</v>
      </c>
      <c r="E37" s="116" t="s">
        <v>108</v>
      </c>
      <c r="F37" s="111">
        <v>20</v>
      </c>
      <c r="G37" s="469"/>
      <c r="H37" s="469"/>
      <c r="I37" s="229">
        <f>H37+G37</f>
        <v>0</v>
      </c>
      <c r="J37" s="229">
        <f>I37*F37</f>
        <v>0</v>
      </c>
      <c r="K37" s="464"/>
      <c r="L37" s="258"/>
    </row>
    <row r="38" spans="1:12" s="119" customFormat="1" ht="14.15" customHeight="1" x14ac:dyDescent="0.25">
      <c r="A38" s="258"/>
      <c r="B38" s="464"/>
      <c r="C38" s="113">
        <v>5.3</v>
      </c>
      <c r="D38" s="141" t="s">
        <v>287</v>
      </c>
      <c r="E38" s="225"/>
      <c r="F38" s="225"/>
      <c r="G38" s="504"/>
      <c r="H38" s="504"/>
      <c r="I38" s="226"/>
      <c r="J38" s="226"/>
      <c r="K38" s="464"/>
      <c r="L38" s="258"/>
    </row>
    <row r="39" spans="1:12" s="119" customFormat="1" ht="14.15" customHeight="1" x14ac:dyDescent="0.25">
      <c r="A39" s="258"/>
      <c r="B39" s="464"/>
      <c r="C39" s="113"/>
      <c r="D39" s="117" t="s">
        <v>288</v>
      </c>
      <c r="E39" s="553"/>
      <c r="F39" s="545"/>
      <c r="G39" s="546"/>
      <c r="H39" s="546"/>
      <c r="I39" s="545"/>
      <c r="J39" s="552"/>
      <c r="K39" s="464"/>
      <c r="L39" s="258"/>
    </row>
    <row r="40" spans="1:12" s="119" customFormat="1" ht="14.15" customHeight="1" x14ac:dyDescent="0.25">
      <c r="A40" s="258"/>
      <c r="B40" s="464"/>
      <c r="C40" s="111" t="s">
        <v>289</v>
      </c>
      <c r="D40" s="117" t="s">
        <v>330</v>
      </c>
      <c r="E40" s="116" t="s">
        <v>108</v>
      </c>
      <c r="F40" s="144">
        <v>20</v>
      </c>
      <c r="G40" s="469"/>
      <c r="H40" s="469"/>
      <c r="I40" s="229">
        <f>H40+G40</f>
        <v>0</v>
      </c>
      <c r="J40" s="229">
        <f>I40*F40</f>
        <v>0</v>
      </c>
      <c r="K40" s="464"/>
      <c r="L40" s="258"/>
    </row>
    <row r="41" spans="1:12" s="119" customFormat="1" ht="14.5" customHeight="1" thickBot="1" x14ac:dyDescent="0.35">
      <c r="A41" s="258"/>
      <c r="B41" s="464"/>
      <c r="C41" s="113">
        <v>5.4</v>
      </c>
      <c r="D41" s="141" t="s">
        <v>291</v>
      </c>
      <c r="E41" s="232" t="s">
        <v>61</v>
      </c>
      <c r="F41" s="232" t="s">
        <v>62</v>
      </c>
      <c r="G41" s="500" t="s">
        <v>63</v>
      </c>
      <c r="H41" s="500" t="s">
        <v>64</v>
      </c>
      <c r="I41" s="501" t="s">
        <v>65</v>
      </c>
      <c r="J41" s="501" t="s">
        <v>66</v>
      </c>
      <c r="K41" s="464"/>
      <c r="L41" s="258"/>
    </row>
    <row r="42" spans="1:12" s="119" customFormat="1" ht="28.5" customHeight="1" thickTop="1" x14ac:dyDescent="0.25">
      <c r="A42" s="258"/>
      <c r="B42" s="464"/>
      <c r="C42" s="113"/>
      <c r="D42" s="117"/>
      <c r="E42" s="156" t="s">
        <v>35</v>
      </c>
      <c r="F42" s="156" t="s">
        <v>36</v>
      </c>
      <c r="G42" s="485" t="s">
        <v>325</v>
      </c>
      <c r="H42" s="486" t="s">
        <v>252</v>
      </c>
      <c r="I42" s="487" t="s">
        <v>253</v>
      </c>
      <c r="J42" s="503" t="s">
        <v>254</v>
      </c>
      <c r="K42" s="464"/>
      <c r="L42" s="258"/>
    </row>
    <row r="43" spans="1:12" s="119" customFormat="1" ht="14.15" customHeight="1" x14ac:dyDescent="0.25">
      <c r="A43" s="258"/>
      <c r="B43" s="464"/>
      <c r="C43" s="113"/>
      <c r="D43" s="117" t="s">
        <v>292</v>
      </c>
      <c r="E43" s="553"/>
      <c r="F43" s="555"/>
      <c r="G43" s="556"/>
      <c r="H43" s="556"/>
      <c r="I43" s="555"/>
      <c r="J43" s="557"/>
      <c r="K43" s="464"/>
      <c r="L43" s="258"/>
    </row>
    <row r="44" spans="1:12" s="119" customFormat="1" ht="28" customHeight="1" x14ac:dyDescent="0.25">
      <c r="A44" s="258"/>
      <c r="B44" s="464"/>
      <c r="C44" s="121"/>
      <c r="D44" s="117" t="s">
        <v>174</v>
      </c>
      <c r="E44" s="562"/>
      <c r="F44" s="563"/>
      <c r="G44" s="564"/>
      <c r="H44" s="564"/>
      <c r="I44" s="563"/>
      <c r="J44" s="565"/>
      <c r="K44" s="464"/>
      <c r="L44" s="258"/>
    </row>
    <row r="45" spans="1:12" s="474" customFormat="1" ht="14.15" customHeight="1" x14ac:dyDescent="0.25">
      <c r="A45" s="258"/>
      <c r="B45" s="475"/>
      <c r="C45" s="111" t="s">
        <v>293</v>
      </c>
      <c r="D45" s="117" t="s">
        <v>282</v>
      </c>
      <c r="E45" s="111" t="s">
        <v>328</v>
      </c>
      <c r="F45" s="111">
        <v>10</v>
      </c>
      <c r="G45" s="469"/>
      <c r="H45" s="469"/>
      <c r="I45" s="229">
        <f>H45+G45</f>
        <v>0</v>
      </c>
      <c r="J45" s="229">
        <f>I45*F45</f>
        <v>0</v>
      </c>
      <c r="K45" s="464"/>
      <c r="L45" s="476"/>
    </row>
    <row r="46" spans="1:12" s="474" customFormat="1" ht="14.15" customHeight="1" x14ac:dyDescent="0.25">
      <c r="A46" s="258"/>
      <c r="B46" s="475"/>
      <c r="C46" s="111" t="s">
        <v>294</v>
      </c>
      <c r="D46" s="117" t="s">
        <v>350</v>
      </c>
      <c r="E46" s="111" t="s">
        <v>328</v>
      </c>
      <c r="F46" s="111">
        <v>1</v>
      </c>
      <c r="G46" s="469"/>
      <c r="H46" s="469"/>
      <c r="I46" s="229">
        <f>H46+G46</f>
        <v>0</v>
      </c>
      <c r="J46" s="239"/>
      <c r="K46" s="464"/>
      <c r="L46" s="476"/>
    </row>
    <row r="47" spans="1:12" s="474" customFormat="1" ht="14.15" customHeight="1" x14ac:dyDescent="0.25">
      <c r="A47" s="258"/>
      <c r="B47" s="475"/>
      <c r="C47" s="111" t="s">
        <v>295</v>
      </c>
      <c r="D47" s="117" t="s">
        <v>177</v>
      </c>
      <c r="E47" s="111" t="s">
        <v>328</v>
      </c>
      <c r="F47" s="111">
        <v>10</v>
      </c>
      <c r="G47" s="469"/>
      <c r="H47" s="469"/>
      <c r="I47" s="229">
        <f>H47+G47</f>
        <v>0</v>
      </c>
      <c r="J47" s="229">
        <f>I47*F47</f>
        <v>0</v>
      </c>
      <c r="K47" s="464"/>
      <c r="L47" s="476"/>
    </row>
    <row r="48" spans="1:12" s="474" customFormat="1" ht="14.15" customHeight="1" x14ac:dyDescent="0.25">
      <c r="A48" s="258"/>
      <c r="B48" s="475"/>
      <c r="C48" s="111" t="s">
        <v>296</v>
      </c>
      <c r="D48" s="117" t="s">
        <v>297</v>
      </c>
      <c r="E48" s="111" t="s">
        <v>328</v>
      </c>
      <c r="F48" s="111">
        <v>10</v>
      </c>
      <c r="G48" s="469"/>
      <c r="H48" s="469"/>
      <c r="I48" s="229">
        <f>H48+G48</f>
        <v>0</v>
      </c>
      <c r="J48" s="229">
        <f>I48*F48</f>
        <v>0</v>
      </c>
      <c r="K48" s="464"/>
      <c r="L48" s="476"/>
    </row>
    <row r="49" spans="1:12" s="119" customFormat="1" ht="14.5" customHeight="1" thickBot="1" x14ac:dyDescent="0.35">
      <c r="A49" s="258"/>
      <c r="B49" s="464"/>
      <c r="C49" s="113">
        <v>5.5</v>
      </c>
      <c r="D49" s="141" t="s">
        <v>298</v>
      </c>
      <c r="E49" s="232" t="s">
        <v>61</v>
      </c>
      <c r="F49" s="232" t="s">
        <v>62</v>
      </c>
      <c r="G49" s="500" t="s">
        <v>63</v>
      </c>
      <c r="H49" s="500" t="s">
        <v>64</v>
      </c>
      <c r="I49" s="501" t="s">
        <v>65</v>
      </c>
      <c r="J49" s="501" t="s">
        <v>66</v>
      </c>
      <c r="K49" s="464"/>
      <c r="L49" s="258"/>
    </row>
    <row r="50" spans="1:12" s="119" customFormat="1" ht="28.5" customHeight="1" thickTop="1" x14ac:dyDescent="0.25">
      <c r="A50" s="258"/>
      <c r="B50" s="464"/>
      <c r="C50" s="113"/>
      <c r="D50" s="117"/>
      <c r="E50" s="156" t="s">
        <v>35</v>
      </c>
      <c r="F50" s="156" t="s">
        <v>36</v>
      </c>
      <c r="G50" s="485" t="s">
        <v>325</v>
      </c>
      <c r="H50" s="486" t="s">
        <v>252</v>
      </c>
      <c r="I50" s="487" t="s">
        <v>253</v>
      </c>
      <c r="J50" s="503" t="s">
        <v>254</v>
      </c>
      <c r="K50" s="464"/>
      <c r="L50" s="258"/>
    </row>
    <row r="51" spans="1:12" s="119" customFormat="1" ht="28" customHeight="1" x14ac:dyDescent="0.25">
      <c r="A51" s="258"/>
      <c r="B51" s="464"/>
      <c r="C51" s="111" t="s">
        <v>299</v>
      </c>
      <c r="D51" s="117" t="s">
        <v>199</v>
      </c>
      <c r="E51" s="116" t="s">
        <v>108</v>
      </c>
      <c r="F51" s="111">
        <v>20</v>
      </c>
      <c r="G51" s="469"/>
      <c r="H51" s="469"/>
      <c r="I51" s="229">
        <f>H51+G51</f>
        <v>0</v>
      </c>
      <c r="J51" s="229">
        <f>I51*F51</f>
        <v>0</v>
      </c>
      <c r="K51" s="464"/>
      <c r="L51" s="258"/>
    </row>
    <row r="52" spans="1:12" s="119" customFormat="1" ht="28" customHeight="1" x14ac:dyDescent="0.25">
      <c r="A52" s="258"/>
      <c r="B52" s="464"/>
      <c r="C52" s="111" t="s">
        <v>300</v>
      </c>
      <c r="D52" s="117" t="s">
        <v>301</v>
      </c>
      <c r="E52" s="116" t="s">
        <v>42</v>
      </c>
      <c r="F52" s="111">
        <v>1</v>
      </c>
      <c r="G52" s="469"/>
      <c r="H52" s="469"/>
      <c r="I52" s="229">
        <f>H52+G52</f>
        <v>0</v>
      </c>
      <c r="J52" s="229">
        <f>I52*F52</f>
        <v>0</v>
      </c>
      <c r="K52" s="464"/>
      <c r="L52" s="258"/>
    </row>
    <row r="53" spans="1:12" s="119" customFormat="1" ht="14.5" customHeight="1" thickBot="1" x14ac:dyDescent="0.35">
      <c r="A53" s="258"/>
      <c r="B53" s="464"/>
      <c r="C53" s="113">
        <v>5.6</v>
      </c>
      <c r="D53" s="141" t="s">
        <v>302</v>
      </c>
      <c r="E53" s="232" t="s">
        <v>61</v>
      </c>
      <c r="F53" s="232" t="s">
        <v>62</v>
      </c>
      <c r="G53" s="500" t="s">
        <v>63</v>
      </c>
      <c r="H53" s="500" t="s">
        <v>64</v>
      </c>
      <c r="I53" s="501" t="s">
        <v>65</v>
      </c>
      <c r="J53" s="501" t="s">
        <v>66</v>
      </c>
      <c r="K53" s="464"/>
      <c r="L53" s="258"/>
    </row>
    <row r="54" spans="1:12" s="119" customFormat="1" ht="28.5" customHeight="1" thickTop="1" x14ac:dyDescent="0.25">
      <c r="A54" s="258"/>
      <c r="B54" s="464"/>
      <c r="C54" s="113"/>
      <c r="D54" s="142"/>
      <c r="E54" s="156" t="s">
        <v>35</v>
      </c>
      <c r="F54" s="156" t="s">
        <v>36</v>
      </c>
      <c r="G54" s="485" t="s">
        <v>325</v>
      </c>
      <c r="H54" s="486" t="s">
        <v>252</v>
      </c>
      <c r="I54" s="487" t="s">
        <v>253</v>
      </c>
      <c r="J54" s="503" t="s">
        <v>254</v>
      </c>
      <c r="K54" s="464"/>
      <c r="L54" s="258"/>
    </row>
    <row r="55" spans="1:12" s="119" customFormat="1" ht="14.15" customHeight="1" x14ac:dyDescent="0.25">
      <c r="A55" s="258"/>
      <c r="B55" s="464"/>
      <c r="C55" s="113"/>
      <c r="D55" s="117" t="s">
        <v>303</v>
      </c>
      <c r="E55" s="553"/>
      <c r="F55" s="545"/>
      <c r="G55" s="546"/>
      <c r="H55" s="546"/>
      <c r="I55" s="545"/>
      <c r="J55" s="552"/>
      <c r="K55" s="464"/>
      <c r="L55" s="258"/>
    </row>
    <row r="56" spans="1:12" s="119" customFormat="1" ht="25.4" customHeight="1" x14ac:dyDescent="0.25">
      <c r="A56" s="258"/>
      <c r="B56" s="464"/>
      <c r="C56" s="111" t="s">
        <v>304</v>
      </c>
      <c r="D56" s="117" t="s">
        <v>305</v>
      </c>
      <c r="E56" s="116" t="s">
        <v>108</v>
      </c>
      <c r="F56" s="111">
        <v>20</v>
      </c>
      <c r="G56" s="469"/>
      <c r="H56" s="469"/>
      <c r="I56" s="229">
        <f t="shared" ref="I56:I61" si="0">H56+G56</f>
        <v>0</v>
      </c>
      <c r="J56" s="229">
        <f t="shared" ref="J56:J61" si="1">I56*F56</f>
        <v>0</v>
      </c>
      <c r="K56" s="464"/>
      <c r="L56" s="258"/>
    </row>
    <row r="57" spans="1:12" s="119" customFormat="1" ht="25.4" customHeight="1" x14ac:dyDescent="0.25">
      <c r="A57" s="258"/>
      <c r="B57" s="464"/>
      <c r="C57" s="111" t="s">
        <v>306</v>
      </c>
      <c r="D57" s="117" t="s">
        <v>307</v>
      </c>
      <c r="E57" s="116" t="s">
        <v>108</v>
      </c>
      <c r="F57" s="111">
        <v>20</v>
      </c>
      <c r="G57" s="469"/>
      <c r="H57" s="469"/>
      <c r="I57" s="229">
        <f t="shared" si="0"/>
        <v>0</v>
      </c>
      <c r="J57" s="229">
        <f t="shared" si="1"/>
        <v>0</v>
      </c>
      <c r="K57" s="464"/>
      <c r="L57" s="258"/>
    </row>
    <row r="58" spans="1:12" s="119" customFormat="1" ht="25.4" customHeight="1" x14ac:dyDescent="0.25">
      <c r="A58" s="258"/>
      <c r="B58" s="464"/>
      <c r="C58" s="111" t="s">
        <v>308</v>
      </c>
      <c r="D58" s="117" t="s">
        <v>309</v>
      </c>
      <c r="E58" s="116" t="s">
        <v>108</v>
      </c>
      <c r="F58" s="111">
        <v>20</v>
      </c>
      <c r="G58" s="469"/>
      <c r="H58" s="469"/>
      <c r="I58" s="229">
        <f t="shared" si="0"/>
        <v>0</v>
      </c>
      <c r="J58" s="229">
        <f t="shared" si="1"/>
        <v>0</v>
      </c>
      <c r="K58" s="464"/>
      <c r="L58" s="258"/>
    </row>
    <row r="59" spans="1:12" s="119" customFormat="1" ht="28" customHeight="1" x14ac:dyDescent="0.25">
      <c r="A59" s="258"/>
      <c r="B59" s="464"/>
      <c r="C59" s="111" t="s">
        <v>310</v>
      </c>
      <c r="D59" s="118" t="s">
        <v>311</v>
      </c>
      <c r="E59" s="116" t="s">
        <v>108</v>
      </c>
      <c r="F59" s="111">
        <v>20</v>
      </c>
      <c r="G59" s="469"/>
      <c r="H59" s="469"/>
      <c r="I59" s="229">
        <f t="shared" si="0"/>
        <v>0</v>
      </c>
      <c r="J59" s="229">
        <f t="shared" si="1"/>
        <v>0</v>
      </c>
      <c r="K59" s="464"/>
      <c r="L59" s="258"/>
    </row>
    <row r="60" spans="1:12" s="119" customFormat="1" ht="28" customHeight="1" x14ac:dyDescent="0.25">
      <c r="A60" s="258"/>
      <c r="B60" s="464"/>
      <c r="C60" s="111" t="s">
        <v>312</v>
      </c>
      <c r="D60" s="118" t="s">
        <v>313</v>
      </c>
      <c r="E60" s="116" t="s">
        <v>108</v>
      </c>
      <c r="F60" s="111">
        <v>20</v>
      </c>
      <c r="G60" s="469"/>
      <c r="H60" s="469"/>
      <c r="I60" s="229">
        <f t="shared" si="0"/>
        <v>0</v>
      </c>
      <c r="J60" s="229">
        <f t="shared" si="1"/>
        <v>0</v>
      </c>
      <c r="K60" s="464"/>
      <c r="L60" s="258"/>
    </row>
    <row r="61" spans="1:12" s="119" customFormat="1" ht="28" customHeight="1" x14ac:dyDescent="0.25">
      <c r="A61" s="258"/>
      <c r="B61" s="464"/>
      <c r="C61" s="111" t="s">
        <v>314</v>
      </c>
      <c r="D61" s="117" t="s">
        <v>315</v>
      </c>
      <c r="E61" s="116" t="s">
        <v>108</v>
      </c>
      <c r="F61" s="111">
        <v>20</v>
      </c>
      <c r="G61" s="469"/>
      <c r="H61" s="469"/>
      <c r="I61" s="229">
        <f t="shared" si="0"/>
        <v>0</v>
      </c>
      <c r="J61" s="229">
        <f t="shared" si="1"/>
        <v>0</v>
      </c>
      <c r="K61" s="464"/>
      <c r="L61" s="258"/>
    </row>
    <row r="62" spans="1:12" s="119" customFormat="1" ht="16.5" customHeight="1" thickBot="1" x14ac:dyDescent="0.35">
      <c r="A62" s="258"/>
      <c r="B62" s="464"/>
      <c r="C62" s="138">
        <v>6</v>
      </c>
      <c r="D62" s="141" t="s">
        <v>316</v>
      </c>
      <c r="E62" s="232" t="s">
        <v>61</v>
      </c>
      <c r="F62" s="232" t="s">
        <v>62</v>
      </c>
      <c r="G62" s="500" t="s">
        <v>63</v>
      </c>
      <c r="H62" s="500" t="s">
        <v>64</v>
      </c>
      <c r="I62" s="501" t="s">
        <v>65</v>
      </c>
      <c r="J62" s="501" t="s">
        <v>66</v>
      </c>
      <c r="K62" s="464"/>
      <c r="L62" s="258"/>
    </row>
    <row r="63" spans="1:12" s="119" customFormat="1" ht="28.5" customHeight="1" thickTop="1" x14ac:dyDescent="0.25">
      <c r="A63" s="258"/>
      <c r="B63" s="464"/>
      <c r="C63" s="113"/>
      <c r="D63" s="125"/>
      <c r="E63" s="156" t="s">
        <v>35</v>
      </c>
      <c r="F63" s="156" t="s">
        <v>36</v>
      </c>
      <c r="G63" s="485" t="s">
        <v>325</v>
      </c>
      <c r="H63" s="486" t="s">
        <v>252</v>
      </c>
      <c r="I63" s="487" t="s">
        <v>253</v>
      </c>
      <c r="J63" s="503" t="s">
        <v>254</v>
      </c>
      <c r="K63" s="464"/>
      <c r="L63" s="258"/>
    </row>
    <row r="64" spans="1:12" s="119" customFormat="1" ht="42" customHeight="1" x14ac:dyDescent="0.25">
      <c r="A64" s="258"/>
      <c r="B64" s="464"/>
      <c r="C64" s="111">
        <v>6.1</v>
      </c>
      <c r="D64" s="117" t="s">
        <v>317</v>
      </c>
      <c r="E64" s="116" t="s">
        <v>42</v>
      </c>
      <c r="F64" s="111">
        <v>1</v>
      </c>
      <c r="G64" s="469"/>
      <c r="H64" s="469"/>
      <c r="I64" s="229">
        <f>H64+G64</f>
        <v>0</v>
      </c>
      <c r="J64" s="229">
        <f>I64*F64</f>
        <v>0</v>
      </c>
      <c r="K64" s="464"/>
      <c r="L64" s="258"/>
    </row>
    <row r="65" spans="1:12" s="119" customFormat="1" ht="14.15" customHeight="1" x14ac:dyDescent="0.25">
      <c r="A65" s="258"/>
      <c r="B65" s="464"/>
      <c r="C65" s="111">
        <v>6.2</v>
      </c>
      <c r="D65" s="117" t="s">
        <v>318</v>
      </c>
      <c r="E65" s="116" t="s">
        <v>42</v>
      </c>
      <c r="F65" s="111">
        <v>1</v>
      </c>
      <c r="G65" s="469"/>
      <c r="H65" s="469"/>
      <c r="I65" s="229">
        <f>H65+G65</f>
        <v>0</v>
      </c>
      <c r="J65" s="229">
        <f>I65*F65</f>
        <v>0</v>
      </c>
      <c r="K65" s="464"/>
      <c r="L65" s="258"/>
    </row>
    <row r="66" spans="1:12" s="119" customFormat="1" ht="14.15" customHeight="1" x14ac:dyDescent="0.25">
      <c r="A66" s="258"/>
      <c r="B66" s="464"/>
      <c r="C66" s="111">
        <v>6.3</v>
      </c>
      <c r="D66" s="117" t="s">
        <v>319</v>
      </c>
      <c r="E66" s="116" t="s">
        <v>42</v>
      </c>
      <c r="F66" s="111">
        <v>1</v>
      </c>
      <c r="G66" s="469"/>
      <c r="H66" s="469"/>
      <c r="I66" s="229">
        <f>H66+G66</f>
        <v>0</v>
      </c>
      <c r="J66" s="229">
        <f>I66*F66</f>
        <v>0</v>
      </c>
      <c r="K66" s="464"/>
      <c r="L66" s="258"/>
    </row>
    <row r="67" spans="1:12" s="119" customFormat="1" ht="14.15" customHeight="1" thickBot="1" x14ac:dyDescent="0.3">
      <c r="A67" s="258"/>
      <c r="B67" s="464"/>
      <c r="C67" s="111">
        <v>6.4</v>
      </c>
      <c r="D67" s="117" t="s">
        <v>320</v>
      </c>
      <c r="E67" s="116" t="s">
        <v>42</v>
      </c>
      <c r="F67" s="111">
        <v>1</v>
      </c>
      <c r="G67" s="469"/>
      <c r="H67" s="469"/>
      <c r="I67" s="229">
        <f>H67+G67</f>
        <v>0</v>
      </c>
      <c r="J67" s="229">
        <f>I67*F67</f>
        <v>0</v>
      </c>
      <c r="K67" s="464"/>
      <c r="L67" s="258"/>
    </row>
    <row r="68" spans="1:12" s="119" customFormat="1" ht="18.75" customHeight="1" thickBot="1" x14ac:dyDescent="0.3">
      <c r="A68" s="258"/>
      <c r="B68" s="464"/>
      <c r="C68" s="111"/>
      <c r="D68" s="230" t="s">
        <v>360</v>
      </c>
      <c r="E68" s="544"/>
      <c r="F68" s="545"/>
      <c r="G68" s="546"/>
      <c r="H68" s="546"/>
      <c r="I68" s="545"/>
      <c r="J68" s="240">
        <f>SUM(J16:J67)</f>
        <v>0</v>
      </c>
      <c r="K68" s="464"/>
      <c r="L68" s="258"/>
    </row>
    <row r="69" spans="1:12" s="119" customFormat="1" ht="16.5" customHeight="1" thickBot="1" x14ac:dyDescent="0.3">
      <c r="A69" s="258"/>
      <c r="B69" s="464"/>
      <c r="C69" s="532" t="s">
        <v>456</v>
      </c>
      <c r="D69" s="533"/>
      <c r="E69" s="533"/>
      <c r="F69" s="533"/>
      <c r="G69" s="533"/>
      <c r="H69" s="533"/>
      <c r="I69" s="533"/>
      <c r="J69" s="534"/>
      <c r="K69" s="258"/>
      <c r="L69" s="258"/>
    </row>
    <row r="70" spans="1:12" s="162" customFormat="1" ht="18.75" customHeight="1" x14ac:dyDescent="0.25">
      <c r="A70" s="258"/>
      <c r="B70" s="258"/>
      <c r="C70" s="535" t="s">
        <v>459</v>
      </c>
      <c r="D70" s="536"/>
      <c r="E70" s="536"/>
      <c r="F70" s="536"/>
      <c r="G70" s="536"/>
      <c r="H70" s="536"/>
      <c r="I70" s="536"/>
      <c r="J70" s="537"/>
      <c r="K70" s="258"/>
      <c r="L70" s="258"/>
    </row>
    <row r="71" spans="1:12" ht="18.75" customHeight="1" x14ac:dyDescent="0.25">
      <c r="A71" s="258"/>
      <c r="B71" s="258"/>
      <c r="C71" s="538"/>
      <c r="D71" s="539"/>
      <c r="E71" s="539"/>
      <c r="F71" s="539"/>
      <c r="G71" s="539"/>
      <c r="H71" s="539"/>
      <c r="I71" s="539"/>
      <c r="J71" s="540"/>
      <c r="K71" s="258"/>
      <c r="L71" s="258"/>
    </row>
    <row r="72" spans="1:12" s="8" customFormat="1" ht="18.75" customHeight="1" x14ac:dyDescent="0.25">
      <c r="A72" s="258"/>
      <c r="B72" s="492"/>
      <c r="C72" s="538"/>
      <c r="D72" s="539"/>
      <c r="E72" s="539"/>
      <c r="F72" s="539"/>
      <c r="G72" s="539"/>
      <c r="H72" s="539"/>
      <c r="I72" s="539"/>
      <c r="J72" s="540"/>
      <c r="K72" s="286"/>
      <c r="L72" s="258"/>
    </row>
    <row r="73" spans="1:12" s="8" customFormat="1" ht="18.75" customHeight="1" x14ac:dyDescent="0.25">
      <c r="A73" s="258"/>
      <c r="B73" s="492"/>
      <c r="C73" s="538"/>
      <c r="D73" s="539"/>
      <c r="E73" s="539"/>
      <c r="F73" s="539"/>
      <c r="G73" s="539"/>
      <c r="H73" s="539"/>
      <c r="I73" s="539"/>
      <c r="J73" s="540"/>
      <c r="K73" s="286"/>
      <c r="L73" s="258"/>
    </row>
    <row r="74" spans="1:12" s="8" customFormat="1" ht="93.75" customHeight="1" thickBot="1" x14ac:dyDescent="0.3">
      <c r="A74" s="258"/>
      <c r="B74" s="492"/>
      <c r="C74" s="541"/>
      <c r="D74" s="542"/>
      <c r="E74" s="542"/>
      <c r="F74" s="542"/>
      <c r="G74" s="542"/>
      <c r="H74" s="542"/>
      <c r="I74" s="542"/>
      <c r="J74" s="543"/>
      <c r="K74" s="286"/>
      <c r="L74" s="258"/>
    </row>
    <row r="75" spans="1:12" s="8" customFormat="1" ht="18.75" customHeight="1" x14ac:dyDescent="0.25">
      <c r="A75" s="258"/>
      <c r="B75" s="492"/>
      <c r="C75" s="35"/>
      <c r="D75" s="45"/>
      <c r="E75" s="35"/>
      <c r="F75" s="35"/>
      <c r="G75" s="258"/>
      <c r="H75" s="258"/>
      <c r="I75" s="295"/>
      <c r="J75" s="295"/>
      <c r="K75" s="286"/>
      <c r="L75" s="258"/>
    </row>
    <row r="76" spans="1:12" s="8" customFormat="1" ht="18.75" customHeight="1" x14ac:dyDescent="0.25">
      <c r="A76" s="258"/>
      <c r="B76" s="492"/>
      <c r="C76" s="35"/>
      <c r="D76" s="45"/>
      <c r="E76" s="35"/>
      <c r="F76" s="35"/>
      <c r="G76" s="258"/>
      <c r="H76" s="258"/>
      <c r="I76" s="295"/>
      <c r="J76" s="295"/>
      <c r="K76" s="286"/>
      <c r="L76" s="258"/>
    </row>
    <row r="77" spans="1:12" s="8" customFormat="1" ht="18.75" customHeight="1" x14ac:dyDescent="0.25">
      <c r="A77" s="258"/>
      <c r="B77" s="492"/>
      <c r="C77" s="35"/>
      <c r="D77" s="45"/>
      <c r="E77" s="35"/>
      <c r="F77" s="35"/>
      <c r="G77" s="258"/>
      <c r="H77" s="258"/>
      <c r="I77" s="295"/>
      <c r="J77" s="295"/>
      <c r="K77" s="286"/>
      <c r="L77" s="258"/>
    </row>
    <row r="78" spans="1:12" s="8" customFormat="1" ht="18.75" customHeight="1" x14ac:dyDescent="0.25">
      <c r="A78" s="258"/>
      <c r="B78" s="492"/>
      <c r="C78" s="35"/>
      <c r="D78" s="45"/>
      <c r="E78" s="35"/>
      <c r="F78" s="35"/>
      <c r="G78" s="258"/>
      <c r="H78" s="258"/>
      <c r="I78" s="295"/>
      <c r="J78" s="295"/>
      <c r="K78" s="286"/>
      <c r="L78" s="258"/>
    </row>
    <row r="79" spans="1:12" s="8" customFormat="1" ht="18.75" customHeight="1" x14ac:dyDescent="0.25">
      <c r="A79" s="258"/>
      <c r="B79" s="492"/>
      <c r="C79" s="35"/>
      <c r="D79" s="45"/>
      <c r="E79" s="35"/>
      <c r="F79" s="35"/>
      <c r="G79" s="258"/>
      <c r="H79" s="258"/>
      <c r="I79" s="295"/>
      <c r="J79" s="295"/>
      <c r="K79" s="286"/>
      <c r="L79" s="258"/>
    </row>
    <row r="80" spans="1:12" s="8" customFormat="1" ht="18.75" customHeight="1" x14ac:dyDescent="0.25">
      <c r="A80" s="258"/>
      <c r="B80" s="492"/>
      <c r="C80" s="35"/>
      <c r="D80" s="45"/>
      <c r="E80" s="35"/>
      <c r="F80" s="35"/>
      <c r="G80" s="258"/>
      <c r="H80" s="258"/>
      <c r="I80" s="295"/>
      <c r="J80" s="295"/>
      <c r="K80" s="286"/>
      <c r="L80" s="258"/>
    </row>
  </sheetData>
  <sheetProtection algorithmName="SHA-512" hashValue="qOqiw+n9M2f/+Qy4ImpcELYwUGYEc+uo++FcdSEmM8EVQVmpBaeU2aVBRQ2jCjyR9nAKVeVc5mawuY+GYquKmg==" saltValue="iyk5gqUyFKyXYNnY81eVoQ==" spinCount="100000" sheet="1" objects="1" scenarios="1"/>
  <mergeCells count="12">
    <mergeCell ref="H1:J5"/>
    <mergeCell ref="C69:J69"/>
    <mergeCell ref="C70:J74"/>
    <mergeCell ref="E68:I68"/>
    <mergeCell ref="C8:J8"/>
    <mergeCell ref="C6:J6"/>
    <mergeCell ref="E32:J32"/>
    <mergeCell ref="E11:J13"/>
    <mergeCell ref="C7:J7"/>
    <mergeCell ref="E43:J44"/>
    <mergeCell ref="E55:J55"/>
    <mergeCell ref="E39:J39"/>
  </mergeCells>
  <pageMargins left="0.45" right="0.45" top="0.5" bottom="0.5" header="0.3" footer="0.3"/>
  <pageSetup paperSize="9" scale="50" fitToHeight="0"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rowBreaks count="1" manualBreakCount="1">
    <brk id="30" min="1" max="10"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249977111117893"/>
    <pageSetUpPr fitToPage="1"/>
  </sheetPr>
  <dimension ref="A1:L40"/>
  <sheetViews>
    <sheetView view="pageBreakPreview" zoomScale="55" zoomScaleNormal="81" zoomScaleSheetLayoutView="55" workbookViewId="0">
      <selection activeCell="D21" sqref="D21"/>
    </sheetView>
  </sheetViews>
  <sheetFormatPr defaultColWidth="8.54296875" defaultRowHeight="12.5" x14ac:dyDescent="0.25"/>
  <cols>
    <col min="2" max="2" width="2.54296875" style="162" customWidth="1"/>
    <col min="3" max="3" width="10.1796875" style="35" customWidth="1"/>
    <col min="4" max="4" width="78.54296875" style="45" customWidth="1"/>
    <col min="5" max="5" width="7.54296875" style="35" customWidth="1"/>
    <col min="6" max="6" width="12.54296875" style="35" customWidth="1"/>
    <col min="7" max="7" width="17.453125" style="8" customWidth="1"/>
    <col min="8" max="8" width="13.81640625" style="8" customWidth="1"/>
    <col min="9" max="9" width="15.54296875" style="295" customWidth="1"/>
    <col min="10" max="10" width="18.81640625" style="295" customWidth="1"/>
    <col min="11" max="11" width="2.453125" style="162" customWidth="1"/>
  </cols>
  <sheetData>
    <row r="1" spans="1:12" x14ac:dyDescent="0.25">
      <c r="H1" s="586" t="e" vm="1">
        <v>#VALUE!</v>
      </c>
      <c r="I1" s="586"/>
      <c r="J1" s="586"/>
    </row>
    <row r="2" spans="1:12" x14ac:dyDescent="0.25">
      <c r="H2" s="586"/>
      <c r="I2" s="586"/>
      <c r="J2" s="586"/>
    </row>
    <row r="3" spans="1:12" x14ac:dyDescent="0.25">
      <c r="H3" s="586"/>
      <c r="I3" s="586"/>
      <c r="J3" s="586"/>
    </row>
    <row r="4" spans="1:12" x14ac:dyDescent="0.25">
      <c r="H4" s="586"/>
      <c r="I4" s="586"/>
      <c r="J4" s="586"/>
    </row>
    <row r="5" spans="1:12" x14ac:dyDescent="0.25">
      <c r="H5" s="586"/>
      <c r="I5" s="586"/>
      <c r="J5" s="586"/>
    </row>
    <row r="6" spans="1:12" x14ac:dyDescent="0.25">
      <c r="H6" s="643"/>
      <c r="I6" s="643"/>
      <c r="J6" s="643"/>
    </row>
    <row r="7" spans="1:12" ht="15.65" customHeight="1" x14ac:dyDescent="0.35">
      <c r="A7" s="258"/>
      <c r="B7" s="258"/>
      <c r="C7" s="566" t="s">
        <v>0</v>
      </c>
      <c r="D7" s="545"/>
      <c r="E7" s="545"/>
      <c r="F7" s="545"/>
      <c r="G7" s="546"/>
      <c r="H7" s="546"/>
      <c r="I7" s="545"/>
      <c r="J7" s="552"/>
      <c r="K7" s="459"/>
      <c r="L7" s="299"/>
    </row>
    <row r="8" spans="1:12" ht="15.65" customHeight="1" x14ac:dyDescent="0.35">
      <c r="A8" s="258"/>
      <c r="B8" s="258"/>
      <c r="C8" s="566" t="str">
        <f>'SECTION 1-P&amp;G'!C8</f>
        <v>ACSA KSIA POWER FACTOR CORRECTION UPGRADE</v>
      </c>
      <c r="D8" s="545"/>
      <c r="E8" s="545"/>
      <c r="F8" s="545"/>
      <c r="G8" s="546"/>
      <c r="H8" s="546"/>
      <c r="I8" s="545"/>
      <c r="J8" s="552"/>
      <c r="K8" s="459"/>
      <c r="L8" s="299"/>
    </row>
    <row r="9" spans="1:12" ht="16" customHeight="1" thickBot="1" x14ac:dyDescent="0.4">
      <c r="A9" s="258"/>
      <c r="B9" s="258"/>
      <c r="C9" s="547" t="s">
        <v>442</v>
      </c>
      <c r="D9" s="548"/>
      <c r="E9" s="548"/>
      <c r="F9" s="548"/>
      <c r="G9" s="549"/>
      <c r="H9" s="549"/>
      <c r="I9" s="548"/>
      <c r="J9" s="550"/>
      <c r="K9" s="459"/>
      <c r="L9" s="299"/>
    </row>
    <row r="10" spans="1:12" ht="45.75" customHeight="1" thickTop="1" x14ac:dyDescent="0.3">
      <c r="A10" s="258"/>
      <c r="B10" s="258"/>
      <c r="C10" s="186" t="s">
        <v>246</v>
      </c>
      <c r="D10" s="188" t="s">
        <v>4</v>
      </c>
      <c r="E10" s="33" t="s">
        <v>35</v>
      </c>
      <c r="F10" s="33" t="s">
        <v>36</v>
      </c>
      <c r="G10" s="313" t="s">
        <v>74</v>
      </c>
      <c r="H10" s="511" t="s">
        <v>76</v>
      </c>
      <c r="I10" s="480" t="s">
        <v>78</v>
      </c>
      <c r="J10" s="493" t="s">
        <v>79</v>
      </c>
      <c r="K10" s="258"/>
      <c r="L10" s="258"/>
    </row>
    <row r="11" spans="1:12" ht="27.65" customHeight="1" x14ac:dyDescent="0.3">
      <c r="A11" s="258"/>
      <c r="B11" s="258"/>
      <c r="C11" s="138"/>
      <c r="D11" s="114" t="s">
        <v>247</v>
      </c>
      <c r="E11" s="156"/>
      <c r="F11" s="138"/>
      <c r="G11" s="512"/>
      <c r="H11" s="513"/>
      <c r="I11" s="468"/>
      <c r="J11" s="468"/>
      <c r="K11" s="258"/>
      <c r="L11" s="258"/>
    </row>
    <row r="12" spans="1:12" s="160" customFormat="1" ht="38.15" customHeight="1" x14ac:dyDescent="0.3">
      <c r="A12" s="258"/>
      <c r="B12" s="514"/>
      <c r="C12" s="161"/>
      <c r="D12" s="110" t="s">
        <v>248</v>
      </c>
      <c r="E12" s="645"/>
      <c r="F12" s="555"/>
      <c r="G12" s="556"/>
      <c r="H12" s="556"/>
      <c r="I12" s="555"/>
      <c r="J12" s="557"/>
      <c r="K12" s="514"/>
      <c r="L12" s="258"/>
    </row>
    <row r="13" spans="1:12" s="160" customFormat="1" ht="44.5" customHeight="1" x14ac:dyDescent="0.3">
      <c r="A13" s="258"/>
      <c r="B13" s="514"/>
      <c r="C13" s="161"/>
      <c r="D13" s="110" t="s">
        <v>454</v>
      </c>
      <c r="E13" s="562"/>
      <c r="F13" s="563"/>
      <c r="G13" s="564"/>
      <c r="H13" s="564"/>
      <c r="I13" s="563"/>
      <c r="J13" s="565"/>
      <c r="K13" s="514"/>
      <c r="L13" s="258"/>
    </row>
    <row r="14" spans="1:12" s="474" customFormat="1" ht="14.15" customHeight="1" x14ac:dyDescent="0.25">
      <c r="A14" s="258"/>
      <c r="B14" s="475"/>
      <c r="C14" s="121"/>
      <c r="D14" s="143"/>
      <c r="E14" s="111"/>
      <c r="F14" s="111"/>
      <c r="G14" s="498"/>
      <c r="H14" s="498"/>
      <c r="I14" s="120"/>
      <c r="J14" s="120"/>
      <c r="K14" s="464"/>
      <c r="L14" s="476"/>
    </row>
    <row r="15" spans="1:12" s="119" customFormat="1" ht="16.5" customHeight="1" thickBot="1" x14ac:dyDescent="0.35">
      <c r="A15" s="258"/>
      <c r="B15" s="464"/>
      <c r="C15" s="138">
        <v>1</v>
      </c>
      <c r="D15" s="141" t="s">
        <v>250</v>
      </c>
      <c r="E15" s="232" t="s">
        <v>61</v>
      </c>
      <c r="F15" s="232" t="s">
        <v>62</v>
      </c>
      <c r="G15" s="500" t="s">
        <v>63</v>
      </c>
      <c r="H15" s="500" t="s">
        <v>64</v>
      </c>
      <c r="I15" s="501" t="s">
        <v>65</v>
      </c>
      <c r="J15" s="501" t="s">
        <v>66</v>
      </c>
      <c r="K15" s="464"/>
      <c r="L15" s="258"/>
    </row>
    <row r="16" spans="1:12" s="119" customFormat="1" ht="28.5" customHeight="1" thickTop="1" x14ac:dyDescent="0.25">
      <c r="A16" s="258"/>
      <c r="B16" s="464"/>
      <c r="C16" s="113"/>
      <c r="D16" s="142"/>
      <c r="E16" s="156" t="s">
        <v>35</v>
      </c>
      <c r="F16" s="156" t="s">
        <v>36</v>
      </c>
      <c r="G16" s="485" t="s">
        <v>325</v>
      </c>
      <c r="H16" s="486" t="s">
        <v>252</v>
      </c>
      <c r="I16" s="487" t="s">
        <v>253</v>
      </c>
      <c r="J16" s="503" t="s">
        <v>254</v>
      </c>
      <c r="K16" s="464"/>
      <c r="L16" s="258"/>
    </row>
    <row r="17" spans="1:12" s="119" customFormat="1" ht="92.15" customHeight="1" x14ac:dyDescent="0.25">
      <c r="A17" s="258"/>
      <c r="B17" s="464"/>
      <c r="C17" s="111">
        <v>1.1000000000000001</v>
      </c>
      <c r="D17" s="118" t="s">
        <v>453</v>
      </c>
      <c r="E17" s="116" t="s">
        <v>42</v>
      </c>
      <c r="F17" s="111">
        <v>1</v>
      </c>
      <c r="G17" s="469"/>
      <c r="H17" s="469"/>
      <c r="I17" s="229">
        <f>G17+H17</f>
        <v>0</v>
      </c>
      <c r="J17" s="229">
        <f>I17*F17</f>
        <v>0</v>
      </c>
      <c r="K17" s="464"/>
      <c r="L17" s="258"/>
    </row>
    <row r="18" spans="1:12" s="119" customFormat="1" ht="14.15" customHeight="1" x14ac:dyDescent="0.25">
      <c r="A18" s="258"/>
      <c r="B18" s="464"/>
      <c r="C18" s="138">
        <v>2</v>
      </c>
      <c r="D18" s="141" t="s">
        <v>321</v>
      </c>
      <c r="E18" s="225"/>
      <c r="F18" s="225"/>
      <c r="G18" s="504"/>
      <c r="H18" s="504"/>
      <c r="I18" s="226"/>
      <c r="J18" s="226"/>
      <c r="K18" s="464"/>
      <c r="L18" s="258"/>
    </row>
    <row r="19" spans="1:12" s="119" customFormat="1" ht="82.5" customHeight="1" x14ac:dyDescent="0.25">
      <c r="A19" s="258"/>
      <c r="B19" s="464"/>
      <c r="C19" s="111">
        <v>2.1</v>
      </c>
      <c r="D19" s="200" t="s">
        <v>452</v>
      </c>
      <c r="E19" s="111" t="s">
        <v>42</v>
      </c>
      <c r="F19" s="111">
        <v>1</v>
      </c>
      <c r="G19" s="469"/>
      <c r="H19" s="469"/>
      <c r="I19" s="229">
        <f>G19+H19</f>
        <v>0</v>
      </c>
      <c r="J19" s="229">
        <f>I19*F19</f>
        <v>0</v>
      </c>
      <c r="K19" s="464"/>
      <c r="L19" s="258"/>
    </row>
    <row r="20" spans="1:12" s="119" customFormat="1" ht="14.15" customHeight="1" x14ac:dyDescent="0.25">
      <c r="A20" s="258"/>
      <c r="B20" s="464"/>
      <c r="C20" s="138">
        <v>3</v>
      </c>
      <c r="D20" s="141" t="s">
        <v>406</v>
      </c>
      <c r="E20" s="225"/>
      <c r="F20" s="225"/>
      <c r="G20" s="504"/>
      <c r="H20" s="504"/>
      <c r="I20" s="226"/>
      <c r="J20" s="226"/>
      <c r="K20" s="464"/>
      <c r="L20" s="258"/>
    </row>
    <row r="21" spans="1:12" s="119" customFormat="1" ht="75" customHeight="1" thickBot="1" x14ac:dyDescent="0.3">
      <c r="A21" s="258"/>
      <c r="B21" s="464"/>
      <c r="C21" s="216">
        <v>3.1</v>
      </c>
      <c r="D21" s="215" t="s">
        <v>460</v>
      </c>
      <c r="E21" s="216" t="s">
        <v>42</v>
      </c>
      <c r="F21" s="216">
        <v>1</v>
      </c>
      <c r="G21" s="515"/>
      <c r="H21" s="515"/>
      <c r="I21" s="241"/>
      <c r="J21" s="244">
        <v>1000000</v>
      </c>
      <c r="K21" s="464"/>
      <c r="L21" s="258"/>
    </row>
    <row r="22" spans="1:12" s="119" customFormat="1" ht="18.75" customHeight="1" thickBot="1" x14ac:dyDescent="0.3">
      <c r="A22" s="258"/>
      <c r="B22" s="464"/>
      <c r="C22" s="242"/>
      <c r="D22" s="243" t="s">
        <v>360</v>
      </c>
      <c r="E22" s="644"/>
      <c r="F22" s="588"/>
      <c r="G22" s="608"/>
      <c r="H22" s="608"/>
      <c r="I22" s="588"/>
      <c r="J22" s="245">
        <f>SUM(J17:J21)</f>
        <v>1000000</v>
      </c>
      <c r="K22" s="464"/>
      <c r="L22" s="258"/>
    </row>
    <row r="23" spans="1:12" s="119" customFormat="1" ht="16.5" customHeight="1" thickBot="1" x14ac:dyDescent="0.3">
      <c r="A23" s="258"/>
      <c r="B23" s="464"/>
      <c r="C23" s="532" t="s">
        <v>456</v>
      </c>
      <c r="D23" s="533"/>
      <c r="E23" s="533"/>
      <c r="F23" s="533"/>
      <c r="G23" s="533"/>
      <c r="H23" s="533"/>
      <c r="I23" s="533"/>
      <c r="J23" s="534"/>
      <c r="K23" s="258"/>
      <c r="L23" s="258"/>
    </row>
    <row r="24" spans="1:12" s="162" customFormat="1" ht="18.75" customHeight="1" x14ac:dyDescent="0.25">
      <c r="A24" s="258"/>
      <c r="B24" s="258"/>
      <c r="C24" s="535" t="s">
        <v>459</v>
      </c>
      <c r="D24" s="536"/>
      <c r="E24" s="536"/>
      <c r="F24" s="536"/>
      <c r="G24" s="536"/>
      <c r="H24" s="536"/>
      <c r="I24" s="536"/>
      <c r="J24" s="537"/>
      <c r="K24" s="258"/>
      <c r="L24" s="258"/>
    </row>
    <row r="25" spans="1:12" ht="18.75" customHeight="1" x14ac:dyDescent="0.25">
      <c r="A25" s="258"/>
      <c r="B25" s="258"/>
      <c r="C25" s="538"/>
      <c r="D25" s="539"/>
      <c r="E25" s="539"/>
      <c r="F25" s="539"/>
      <c r="G25" s="539"/>
      <c r="H25" s="539"/>
      <c r="I25" s="539"/>
      <c r="J25" s="540"/>
      <c r="K25" s="258"/>
      <c r="L25" s="258"/>
    </row>
    <row r="26" spans="1:12" ht="18.75" customHeight="1" x14ac:dyDescent="0.25">
      <c r="A26" s="258"/>
      <c r="B26" s="258"/>
      <c r="C26" s="538"/>
      <c r="D26" s="539"/>
      <c r="E26" s="539"/>
      <c r="F26" s="539"/>
      <c r="G26" s="539"/>
      <c r="H26" s="539"/>
      <c r="I26" s="539"/>
      <c r="J26" s="540"/>
      <c r="K26" s="258"/>
      <c r="L26" s="258"/>
    </row>
    <row r="27" spans="1:12" ht="18.75" customHeight="1" x14ac:dyDescent="0.25">
      <c r="A27" s="258"/>
      <c r="B27" s="258"/>
      <c r="C27" s="538"/>
      <c r="D27" s="539"/>
      <c r="E27" s="539"/>
      <c r="F27" s="539"/>
      <c r="G27" s="539"/>
      <c r="H27" s="539"/>
      <c r="I27" s="539"/>
      <c r="J27" s="540"/>
      <c r="K27" s="258"/>
      <c r="L27" s="258"/>
    </row>
    <row r="28" spans="1:12" ht="90.75" customHeight="1" thickBot="1" x14ac:dyDescent="0.3">
      <c r="A28" s="258"/>
      <c r="B28" s="258"/>
      <c r="C28" s="541"/>
      <c r="D28" s="542"/>
      <c r="E28" s="542"/>
      <c r="F28" s="542"/>
      <c r="G28" s="542"/>
      <c r="H28" s="542"/>
      <c r="I28" s="542"/>
      <c r="J28" s="543"/>
      <c r="K28" s="258"/>
      <c r="L28" s="258"/>
    </row>
    <row r="29" spans="1:12" ht="18.75" customHeight="1" x14ac:dyDescent="0.25">
      <c r="A29" s="258"/>
      <c r="B29" s="258"/>
      <c r="G29" s="258"/>
      <c r="H29" s="258"/>
      <c r="K29" s="258"/>
      <c r="L29" s="258"/>
    </row>
    <row r="30" spans="1:12" ht="18.75" customHeight="1" x14ac:dyDescent="0.25">
      <c r="A30" s="258"/>
      <c r="B30" s="258"/>
      <c r="G30" s="258"/>
      <c r="H30" s="258"/>
      <c r="K30" s="258"/>
      <c r="L30" s="258"/>
    </row>
    <row r="31" spans="1:12" ht="18.75" customHeight="1" x14ac:dyDescent="0.25">
      <c r="A31" s="258"/>
      <c r="B31" s="258"/>
      <c r="G31" s="258"/>
      <c r="H31" s="258"/>
      <c r="K31" s="258"/>
      <c r="L31" s="258"/>
    </row>
    <row r="32" spans="1:12" s="8" customFormat="1" ht="18.75" customHeight="1" x14ac:dyDescent="0.25">
      <c r="A32" s="258"/>
      <c r="B32" s="492"/>
      <c r="C32" s="35"/>
      <c r="D32" s="45"/>
      <c r="E32" s="35"/>
      <c r="F32" s="35"/>
      <c r="G32" s="258"/>
      <c r="H32" s="258"/>
      <c r="I32" s="295"/>
      <c r="J32" s="295"/>
      <c r="K32" s="286"/>
      <c r="L32" s="258"/>
    </row>
    <row r="33" spans="1:12" s="8" customFormat="1" ht="18.75" customHeight="1" x14ac:dyDescent="0.25">
      <c r="A33" s="258"/>
      <c r="B33" s="492"/>
      <c r="C33" s="35"/>
      <c r="D33" s="45"/>
      <c r="E33" s="35"/>
      <c r="F33" s="35"/>
      <c r="G33" s="258"/>
      <c r="H33" s="258"/>
      <c r="I33" s="295"/>
      <c r="J33" s="295"/>
      <c r="K33" s="286"/>
      <c r="L33" s="258"/>
    </row>
    <row r="34" spans="1:12" s="8" customFormat="1" ht="18.75" customHeight="1" x14ac:dyDescent="0.25">
      <c r="A34" s="258"/>
      <c r="B34" s="492"/>
      <c r="C34" s="35"/>
      <c r="D34" s="45"/>
      <c r="E34" s="35"/>
      <c r="F34" s="35"/>
      <c r="G34" s="258"/>
      <c r="H34" s="258"/>
      <c r="I34" s="295"/>
      <c r="J34" s="295"/>
      <c r="K34" s="286"/>
      <c r="L34" s="258"/>
    </row>
    <row r="35" spans="1:12" s="8" customFormat="1" ht="18.75" customHeight="1" x14ac:dyDescent="0.25">
      <c r="A35" s="258"/>
      <c r="B35" s="492"/>
      <c r="C35" s="35"/>
      <c r="D35" s="45"/>
      <c r="E35" s="35"/>
      <c r="F35" s="35"/>
      <c r="G35" s="258"/>
      <c r="H35" s="258"/>
      <c r="I35" s="295"/>
      <c r="J35" s="295"/>
      <c r="K35" s="286"/>
      <c r="L35" s="258"/>
    </row>
    <row r="36" spans="1:12" s="8" customFormat="1" ht="18.75" customHeight="1" x14ac:dyDescent="0.25">
      <c r="A36" s="258"/>
      <c r="B36" s="492"/>
      <c r="C36" s="35"/>
      <c r="D36" s="45"/>
      <c r="E36" s="35"/>
      <c r="F36" s="35"/>
      <c r="G36" s="258"/>
      <c r="H36" s="258"/>
      <c r="I36" s="295"/>
      <c r="J36" s="295"/>
      <c r="K36" s="286"/>
      <c r="L36" s="258"/>
    </row>
    <row r="37" spans="1:12" s="8" customFormat="1" ht="18.75" customHeight="1" x14ac:dyDescent="0.25">
      <c r="A37" s="258"/>
      <c r="B37" s="492"/>
      <c r="C37" s="35"/>
      <c r="D37" s="45"/>
      <c r="E37" s="35"/>
      <c r="F37" s="35"/>
      <c r="G37" s="258"/>
      <c r="H37" s="258"/>
      <c r="I37" s="295"/>
      <c r="J37" s="295"/>
      <c r="K37" s="286"/>
      <c r="L37" s="258"/>
    </row>
    <row r="38" spans="1:12" s="8" customFormat="1" ht="18.75" customHeight="1" x14ac:dyDescent="0.25">
      <c r="A38" s="258"/>
      <c r="B38" s="492"/>
      <c r="C38" s="35"/>
      <c r="D38" s="45"/>
      <c r="E38" s="35"/>
      <c r="F38" s="35"/>
      <c r="G38" s="258"/>
      <c r="H38" s="258"/>
      <c r="I38" s="295"/>
      <c r="J38" s="295"/>
      <c r="K38" s="286"/>
      <c r="L38" s="258"/>
    </row>
    <row r="39" spans="1:12" s="8" customFormat="1" ht="18.75" customHeight="1" x14ac:dyDescent="0.25">
      <c r="A39" s="258"/>
      <c r="B39" s="492"/>
      <c r="C39" s="35"/>
      <c r="D39" s="45"/>
      <c r="E39" s="35"/>
      <c r="F39" s="35"/>
      <c r="G39" s="258"/>
      <c r="H39" s="258"/>
      <c r="I39" s="295"/>
      <c r="J39" s="295"/>
      <c r="K39" s="286"/>
      <c r="L39" s="258"/>
    </row>
    <row r="40" spans="1:12" s="8" customFormat="1" ht="18.75" customHeight="1" x14ac:dyDescent="0.25">
      <c r="A40" s="258"/>
      <c r="B40" s="492"/>
      <c r="C40" s="35"/>
      <c r="D40" s="45"/>
      <c r="E40" s="35"/>
      <c r="F40" s="35"/>
      <c r="G40" s="258"/>
      <c r="H40" s="258"/>
      <c r="I40" s="295"/>
      <c r="J40" s="295"/>
      <c r="K40" s="286"/>
      <c r="L40" s="258"/>
    </row>
  </sheetData>
  <sheetProtection algorithmName="SHA-512" hashValue="Cc2/BkRdvw/RcTiyyA76Ja2OO6UqNHKZ1TvAegZXYrgPxB1dY2CtqbaD2RNvUjMo1+545zRkPdwRjttVG0xkbA==" saltValue="uhWE9lLMbM9ji8P6BIkRgQ==" spinCount="100000" sheet="1" objects="1" scenarios="1"/>
  <mergeCells count="8">
    <mergeCell ref="H1:J6"/>
    <mergeCell ref="C23:J23"/>
    <mergeCell ref="C24:J28"/>
    <mergeCell ref="C9:J9"/>
    <mergeCell ref="C7:J7"/>
    <mergeCell ref="E22:I22"/>
    <mergeCell ref="C8:J8"/>
    <mergeCell ref="E12:J13"/>
  </mergeCells>
  <pageMargins left="0" right="0" top="0" bottom="0" header="0.31496062992125978" footer="0.31496062992125978"/>
  <pageSetup paperSize="9" scale="56" fitToHeight="0"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167"/>
  <sheetViews>
    <sheetView view="pageBreakPreview" zoomScale="70" zoomScaleNormal="100" zoomScaleSheetLayoutView="70" workbookViewId="0">
      <pane ySplit="5" topLeftCell="A6" activePane="bottomLeft" state="frozen"/>
      <selection pane="bottomLeft" activeCell="D12" sqref="D12"/>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1" width="13.81640625" style="8" customWidth="1"/>
    <col min="12" max="12" width="12.453125" style="295"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33" t="s">
        <v>36</v>
      </c>
      <c r="E5" s="82" t="s">
        <v>72</v>
      </c>
      <c r="F5" s="82" t="s">
        <v>73</v>
      </c>
      <c r="G5" s="313" t="s">
        <v>74</v>
      </c>
      <c r="H5" s="314" t="s">
        <v>75</v>
      </c>
      <c r="I5" s="82" t="s">
        <v>73</v>
      </c>
      <c r="J5" s="315" t="s">
        <v>76</v>
      </c>
      <c r="K5" s="316"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516" t="s">
        <v>407</v>
      </c>
      <c r="C11" s="49" t="s">
        <v>85</v>
      </c>
      <c r="D11" s="50">
        <v>53</v>
      </c>
      <c r="E11" s="36">
        <f>1623.93</f>
        <v>1623.93</v>
      </c>
      <c r="F11" s="41">
        <v>0.25</v>
      </c>
      <c r="G11" s="348">
        <f>E11/(1-F11)</f>
        <v>2165.2400000000002</v>
      </c>
      <c r="H11" s="348">
        <v>350</v>
      </c>
      <c r="I11" s="83">
        <v>0.15</v>
      </c>
      <c r="J11" s="79">
        <f>H11*(1+I11)</f>
        <v>402.49999999999994</v>
      </c>
      <c r="K11" s="349">
        <f>J11*D11</f>
        <v>21332.499999999996</v>
      </c>
      <c r="L11" s="350">
        <f>G11+J11</f>
        <v>2567.7400000000002</v>
      </c>
      <c r="M11" s="351">
        <f>D11*L11</f>
        <v>136090.22</v>
      </c>
      <c r="N11" s="258"/>
      <c r="O11" s="258"/>
    </row>
    <row r="12" spans="1:15" ht="14.5" customHeight="1" thickBot="1" x14ac:dyDescent="0.35">
      <c r="A12" s="354"/>
      <c r="B12" s="441"/>
      <c r="C12" s="71"/>
      <c r="D12" s="72"/>
      <c r="E12" s="73"/>
      <c r="F12" s="74"/>
      <c r="G12" s="356"/>
      <c r="H12" s="356"/>
      <c r="I12" s="73"/>
      <c r="J12" s="73"/>
      <c r="K12" s="357"/>
      <c r="L12" s="358"/>
      <c r="M12" s="358"/>
      <c r="N12" s="258"/>
      <c r="O12" s="258"/>
    </row>
    <row r="13" spans="1:15" ht="14.15" customHeight="1" x14ac:dyDescent="0.3">
      <c r="A13" s="359" t="s">
        <v>86</v>
      </c>
      <c r="B13" s="360"/>
      <c r="C13" s="255"/>
      <c r="D13" s="58" t="s">
        <v>87</v>
      </c>
      <c r="E13" s="56"/>
      <c r="F13" s="57"/>
      <c r="G13" s="361"/>
      <c r="H13" s="361"/>
      <c r="I13" s="56"/>
      <c r="J13" s="56"/>
      <c r="K13" s="362"/>
      <c r="L13" s="363"/>
      <c r="M13" s="363"/>
      <c r="N13" s="258"/>
      <c r="O13" s="258"/>
    </row>
    <row r="14" spans="1:15" ht="14.5" customHeight="1" thickBot="1" x14ac:dyDescent="0.35">
      <c r="A14" s="341" t="s">
        <v>88</v>
      </c>
      <c r="B14" s="442" t="s">
        <v>408</v>
      </c>
      <c r="C14" s="30" t="s">
        <v>85</v>
      </c>
      <c r="D14" s="1">
        <v>2</v>
      </c>
      <c r="E14" s="36">
        <v>37623.760000000002</v>
      </c>
      <c r="F14" s="41">
        <v>0.2</v>
      </c>
      <c r="G14" s="348">
        <f>E14/(1-F14)</f>
        <v>47029.7</v>
      </c>
      <c r="H14" s="348">
        <f>(550*8)+3600</f>
        <v>8000</v>
      </c>
      <c r="I14" s="83">
        <v>0.15</v>
      </c>
      <c r="J14" s="79">
        <f>H14*(1+I14)</f>
        <v>9200</v>
      </c>
      <c r="K14" s="349">
        <f>J14*D14</f>
        <v>18400</v>
      </c>
      <c r="L14" s="350">
        <f>G14+J14</f>
        <v>56229.7</v>
      </c>
      <c r="M14" s="351">
        <f>D14*L14</f>
        <v>112459.4</v>
      </c>
      <c r="N14" s="258"/>
      <c r="O14" s="258"/>
    </row>
    <row r="15" spans="1:15" ht="14.5" customHeight="1" thickBot="1" x14ac:dyDescent="0.35">
      <c r="A15" s="354"/>
      <c r="B15" s="441"/>
      <c r="C15" s="71"/>
      <c r="D15" s="72"/>
      <c r="E15" s="73"/>
      <c r="F15" s="74"/>
      <c r="G15" s="356"/>
      <c r="H15" s="356"/>
      <c r="I15" s="73"/>
      <c r="J15" s="73"/>
      <c r="K15" s="357"/>
      <c r="L15" s="358"/>
      <c r="M15" s="358"/>
      <c r="N15" s="258"/>
      <c r="O15" s="258"/>
    </row>
    <row r="16" spans="1:15" ht="14.15" customHeight="1" x14ac:dyDescent="0.3">
      <c r="A16" s="359">
        <v>2.2999999999999998</v>
      </c>
      <c r="B16" s="367"/>
      <c r="C16" s="255"/>
      <c r="D16" s="58" t="s">
        <v>91</v>
      </c>
      <c r="E16" s="56"/>
      <c r="F16" s="57"/>
      <c r="G16" s="361"/>
      <c r="H16" s="361"/>
      <c r="I16" s="56"/>
      <c r="J16" s="56"/>
      <c r="K16" s="362"/>
      <c r="L16" s="363"/>
      <c r="M16" s="363"/>
      <c r="N16" s="258"/>
      <c r="O16" s="258"/>
    </row>
    <row r="17" spans="1:15" ht="14.15" customHeight="1" x14ac:dyDescent="0.3">
      <c r="A17" s="341" t="s">
        <v>92</v>
      </c>
      <c r="B17" s="443" t="s">
        <v>409</v>
      </c>
      <c r="C17" s="30" t="s">
        <v>85</v>
      </c>
      <c r="D17" s="1">
        <v>6</v>
      </c>
      <c r="E17" s="36">
        <v>1021.3</v>
      </c>
      <c r="F17" s="41">
        <v>0.2</v>
      </c>
      <c r="G17" s="348">
        <f>E17/(1-F17)</f>
        <v>1276.6249999999998</v>
      </c>
      <c r="H17" s="348">
        <f>(550*4)+3500</f>
        <v>5700</v>
      </c>
      <c r="I17" s="83">
        <v>0.15</v>
      </c>
      <c r="J17" s="79">
        <f>H17*(1+I17)</f>
        <v>6554.9999999999991</v>
      </c>
      <c r="K17" s="349">
        <f>J17*D17</f>
        <v>39329.999999999993</v>
      </c>
      <c r="L17" s="350">
        <f>G17+J17</f>
        <v>7831.6249999999991</v>
      </c>
      <c r="M17" s="351">
        <f>D17*L17</f>
        <v>46989.749999999993</v>
      </c>
      <c r="N17" s="258"/>
      <c r="O17" s="258"/>
    </row>
    <row r="18" spans="1:15" ht="14.5" customHeight="1" thickBot="1" x14ac:dyDescent="0.35">
      <c r="A18" s="341" t="s">
        <v>94</v>
      </c>
      <c r="B18" s="444" t="s">
        <v>410</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436"/>
      <c r="O18" s="369"/>
    </row>
    <row r="19" spans="1:15" ht="14.15" customHeight="1" x14ac:dyDescent="0.3">
      <c r="A19" s="359">
        <v>2.4</v>
      </c>
      <c r="B19" s="360"/>
      <c r="C19" s="255"/>
      <c r="D19" s="58" t="s">
        <v>96</v>
      </c>
      <c r="E19" s="56"/>
      <c r="F19" s="57"/>
      <c r="G19" s="361"/>
      <c r="H19" s="361"/>
      <c r="I19" s="56"/>
      <c r="J19" s="56"/>
      <c r="K19" s="362"/>
      <c r="L19" s="363"/>
      <c r="M19" s="363"/>
      <c r="N19" s="258"/>
      <c r="O19" s="258"/>
    </row>
    <row r="20" spans="1:15" ht="28" customHeight="1" x14ac:dyDescent="0.3">
      <c r="A20" s="370" t="s">
        <v>97</v>
      </c>
      <c r="B20" s="445" t="s">
        <v>411</v>
      </c>
      <c r="C20" s="3" t="s">
        <v>85</v>
      </c>
      <c r="D20" s="7">
        <v>1</v>
      </c>
      <c r="E20" s="37">
        <v>348297.95</v>
      </c>
      <c r="F20" s="41">
        <v>0.2</v>
      </c>
      <c r="G20" s="348">
        <f>E20/(1-F20)</f>
        <v>435372.4375</v>
      </c>
      <c r="H20" s="371">
        <f>(550*8)+3600</f>
        <v>8000</v>
      </c>
      <c r="I20" s="83">
        <v>0.15</v>
      </c>
      <c r="J20" s="79">
        <f>H20*(1+I20)</f>
        <v>9200</v>
      </c>
      <c r="K20" s="349">
        <f>J20*D20</f>
        <v>9200</v>
      </c>
      <c r="L20" s="350">
        <f>G20+J20</f>
        <v>444572.4375</v>
      </c>
      <c r="M20" s="351">
        <f>D20*L20</f>
        <v>444572.4375</v>
      </c>
      <c r="N20" s="258"/>
      <c r="O20" s="258"/>
    </row>
    <row r="21" spans="1:15" ht="14.15" customHeight="1" x14ac:dyDescent="0.3">
      <c r="A21" s="370"/>
      <c r="B21" s="443"/>
      <c r="C21" s="3"/>
      <c r="D21" s="7"/>
      <c r="E21" s="37"/>
      <c r="F21" s="41"/>
      <c r="G21" s="348"/>
      <c r="H21" s="371"/>
      <c r="I21" s="66"/>
      <c r="J21" s="66"/>
      <c r="K21" s="349"/>
      <c r="L21" s="350"/>
      <c r="M21" s="351"/>
      <c r="N21" s="258"/>
      <c r="O21" s="258"/>
    </row>
    <row r="22" spans="1:15" ht="14.15" customHeight="1" x14ac:dyDescent="0.3">
      <c r="A22" s="370" t="s">
        <v>99</v>
      </c>
      <c r="B22" s="443"/>
      <c r="C22" s="3"/>
      <c r="D22" s="7"/>
      <c r="E22" s="37"/>
      <c r="F22" s="41"/>
      <c r="G22" s="348"/>
      <c r="H22" s="371"/>
      <c r="I22" s="66"/>
      <c r="J22" s="66"/>
      <c r="K22" s="349"/>
      <c r="L22" s="350"/>
      <c r="M22" s="351"/>
      <c r="N22" s="258"/>
      <c r="O22" s="258"/>
    </row>
    <row r="23" spans="1:15" ht="28.5" customHeight="1" thickBot="1" x14ac:dyDescent="0.35">
      <c r="A23" s="374"/>
      <c r="B23" s="446" t="s">
        <v>100</v>
      </c>
      <c r="C23" s="67" t="s">
        <v>85</v>
      </c>
      <c r="D23" s="68">
        <f>8 + N("LV batteries have 4 cables per battery")</f>
        <v>8</v>
      </c>
      <c r="E23" s="69">
        <f>1888.71*1.15</f>
        <v>2172.0164999999997</v>
      </c>
      <c r="F23" s="52">
        <v>0.2</v>
      </c>
      <c r="G23" s="376">
        <f>E23/(1-F23)</f>
        <v>2715.0206249999997</v>
      </c>
      <c r="H23" s="377">
        <f>250*1</f>
        <v>250</v>
      </c>
      <c r="I23" s="83">
        <v>0.15</v>
      </c>
      <c r="J23" s="79">
        <f>H23*(1+I23)</f>
        <v>287.5</v>
      </c>
      <c r="K23" s="349">
        <f>J23*D23</f>
        <v>2300</v>
      </c>
      <c r="L23" s="350">
        <f>G23+J23</f>
        <v>3002.5206249999997</v>
      </c>
      <c r="M23" s="378">
        <f>D23*L23</f>
        <v>24020.164999999997</v>
      </c>
      <c r="N23" s="258"/>
      <c r="O23" s="258"/>
    </row>
    <row r="24" spans="1:15" ht="14.5" customHeight="1" thickBot="1" x14ac:dyDescent="0.35">
      <c r="A24" s="354"/>
      <c r="B24" s="441"/>
      <c r="C24" s="71"/>
      <c r="D24" s="72"/>
      <c r="E24" s="73"/>
      <c r="F24" s="74"/>
      <c r="G24" s="356"/>
      <c r="H24" s="356"/>
      <c r="I24" s="73"/>
      <c r="J24" s="73"/>
      <c r="K24" s="357"/>
      <c r="L24" s="358"/>
      <c r="M24" s="358"/>
      <c r="N24" s="258"/>
      <c r="O24" s="258"/>
    </row>
    <row r="25" spans="1:15" ht="14.15" customHeight="1" x14ac:dyDescent="0.3">
      <c r="A25" s="379">
        <v>2.5</v>
      </c>
      <c r="B25" s="360"/>
      <c r="C25" s="255"/>
      <c r="D25" s="58" t="s">
        <v>101</v>
      </c>
      <c r="E25" s="56"/>
      <c r="F25" s="57"/>
      <c r="G25" s="361"/>
      <c r="H25" s="361"/>
      <c r="I25" s="56"/>
      <c r="J25" s="56"/>
      <c r="K25" s="362"/>
      <c r="L25" s="363"/>
      <c r="M25" s="363"/>
      <c r="N25" s="258"/>
      <c r="O25" s="258"/>
    </row>
    <row r="26" spans="1:15" ht="14.15" customHeight="1" x14ac:dyDescent="0.3">
      <c r="A26" s="380" t="s">
        <v>102</v>
      </c>
      <c r="B26" s="444" t="s">
        <v>103</v>
      </c>
      <c r="C26" s="3" t="s">
        <v>85</v>
      </c>
      <c r="D26" s="7">
        <f>D11</f>
        <v>53</v>
      </c>
      <c r="E26" s="37">
        <v>650</v>
      </c>
      <c r="F26" s="41">
        <v>0.2</v>
      </c>
      <c r="G26" s="348">
        <f>E26/(1-F26)</f>
        <v>812.5</v>
      </c>
      <c r="H26" s="371">
        <f>(((5*200)*4)*1.2)/D26</f>
        <v>90.566037735849051</v>
      </c>
      <c r="I26" s="83">
        <v>0.15</v>
      </c>
      <c r="J26" s="79">
        <f>H26*(1+I26)</f>
        <v>104.1509433962264</v>
      </c>
      <c r="K26" s="349">
        <f>J26*D26</f>
        <v>5519.9999999999991</v>
      </c>
      <c r="L26" s="350">
        <f>G26+J26</f>
        <v>916.65094339622635</v>
      </c>
      <c r="M26" s="351">
        <f>D26*L26</f>
        <v>48582.5</v>
      </c>
      <c r="N26" s="258"/>
      <c r="O26" s="258"/>
    </row>
    <row r="27" spans="1:15" ht="14.5" customHeight="1" thickBot="1" x14ac:dyDescent="0.35">
      <c r="A27" s="381"/>
      <c r="B27" s="446" t="s">
        <v>104</v>
      </c>
      <c r="C27" s="49"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441"/>
      <c r="C28" s="71"/>
      <c r="D28" s="72"/>
      <c r="E28" s="73"/>
      <c r="F28" s="74"/>
      <c r="G28" s="356"/>
      <c r="H28" s="356"/>
      <c r="I28" s="73"/>
      <c r="J28" s="73"/>
      <c r="K28" s="357"/>
      <c r="L28" s="358"/>
      <c r="M28" s="358"/>
      <c r="N28" s="258"/>
      <c r="O28" s="258"/>
    </row>
    <row r="29" spans="1:15" ht="14.15" customHeight="1" x14ac:dyDescent="0.3">
      <c r="A29" s="359">
        <v>2.6</v>
      </c>
      <c r="B29" s="360"/>
      <c r="C29" s="255"/>
      <c r="D29" s="58" t="s">
        <v>105</v>
      </c>
      <c r="E29" s="56"/>
      <c r="F29" s="57"/>
      <c r="G29" s="361"/>
      <c r="H29" s="361"/>
      <c r="I29" s="56"/>
      <c r="J29" s="56"/>
      <c r="K29" s="362"/>
      <c r="L29" s="363"/>
      <c r="M29" s="363"/>
      <c r="N29" s="258"/>
      <c r="O29" s="258"/>
    </row>
    <row r="30" spans="1:15" ht="42" customHeight="1" x14ac:dyDescent="0.3">
      <c r="A30" s="341" t="s">
        <v>106</v>
      </c>
      <c r="B30" s="444" t="s">
        <v>107</v>
      </c>
      <c r="C30" s="30" t="s">
        <v>108</v>
      </c>
      <c r="D30" s="28">
        <v>250</v>
      </c>
      <c r="E30" s="36">
        <f>14.85*1.15</f>
        <v>17.077499999999997</v>
      </c>
      <c r="F30" s="41">
        <v>0.2</v>
      </c>
      <c r="G30" s="348">
        <f>E30/(1-F30)</f>
        <v>21.346874999999994</v>
      </c>
      <c r="H30" s="348">
        <f>39</f>
        <v>39</v>
      </c>
      <c r="I30" s="83">
        <v>0.15</v>
      </c>
      <c r="J30" s="79">
        <f>H30*(1+I30)</f>
        <v>44.849999999999994</v>
      </c>
      <c r="K30" s="349">
        <f>J30*D30</f>
        <v>11212.499999999998</v>
      </c>
      <c r="L30" s="350">
        <f>G30+J30</f>
        <v>66.196874999999991</v>
      </c>
      <c r="M30" s="351">
        <f>D30*L30</f>
        <v>16549.218749999996</v>
      </c>
      <c r="N30" s="258"/>
      <c r="O30" s="258"/>
    </row>
    <row r="31" spans="1:15" ht="14.15" customHeight="1" x14ac:dyDescent="0.3">
      <c r="A31" s="341" t="s">
        <v>109</v>
      </c>
      <c r="B31" s="443" t="s">
        <v>110</v>
      </c>
      <c r="C31" s="30" t="s">
        <v>108</v>
      </c>
      <c r="D31" s="1">
        <f>16 +N("2m * 8 cables")</f>
        <v>16</v>
      </c>
      <c r="E31" s="36">
        <f>180*1.15</f>
        <v>206.99999999999997</v>
      </c>
      <c r="F31" s="41">
        <v>0.2</v>
      </c>
      <c r="G31" s="348">
        <f>E31/(1-F31)</f>
        <v>258.74999999999994</v>
      </c>
      <c r="H31" s="348">
        <f>65</f>
        <v>65</v>
      </c>
      <c r="I31" s="83">
        <v>0.15</v>
      </c>
      <c r="J31" s="79">
        <f>H31*(1+I31)</f>
        <v>74.75</v>
      </c>
      <c r="K31" s="349">
        <f>J31*D31</f>
        <v>1196</v>
      </c>
      <c r="L31" s="350">
        <f>G31+J31</f>
        <v>333.49999999999994</v>
      </c>
      <c r="M31" s="351">
        <f>D31*L31</f>
        <v>5335.9999999999991</v>
      </c>
      <c r="N31" s="258"/>
      <c r="O31" s="258"/>
    </row>
    <row r="32" spans="1:15" ht="14.15" customHeight="1" x14ac:dyDescent="0.3">
      <c r="A32" s="341" t="s">
        <v>111</v>
      </c>
      <c r="B32" s="443" t="s">
        <v>112</v>
      </c>
      <c r="C32" s="30"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258"/>
    </row>
    <row r="33" spans="1:15" ht="14.5" customHeight="1" thickBot="1" x14ac:dyDescent="0.35">
      <c r="A33" s="381"/>
      <c r="B33" s="447" t="s">
        <v>113</v>
      </c>
      <c r="C33" s="30"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441"/>
      <c r="C34" s="71"/>
      <c r="D34" s="72"/>
      <c r="E34" s="73"/>
      <c r="F34" s="74"/>
      <c r="G34" s="356"/>
      <c r="H34" s="356"/>
      <c r="I34" s="73"/>
      <c r="J34" s="73"/>
      <c r="K34" s="357"/>
      <c r="L34" s="358"/>
      <c r="M34" s="358"/>
      <c r="N34" s="258"/>
      <c r="O34" s="258"/>
    </row>
    <row r="35" spans="1:15" ht="14.15" customHeight="1" x14ac:dyDescent="0.3">
      <c r="A35" s="359">
        <v>2.7</v>
      </c>
      <c r="B35" s="360"/>
      <c r="C35" s="255"/>
      <c r="D35" s="58" t="s">
        <v>114</v>
      </c>
      <c r="E35" s="56"/>
      <c r="F35" s="57"/>
      <c r="G35" s="361"/>
      <c r="H35" s="361"/>
      <c r="I35" s="56"/>
      <c r="J35" s="56"/>
      <c r="K35" s="362"/>
      <c r="L35" s="363"/>
      <c r="M35" s="363"/>
      <c r="N35" s="258"/>
      <c r="O35" s="258"/>
    </row>
    <row r="36" spans="1:15" ht="28" customHeight="1" x14ac:dyDescent="0.3">
      <c r="A36" s="370" t="s">
        <v>115</v>
      </c>
      <c r="B36" s="444" t="s">
        <v>116</v>
      </c>
      <c r="C36" s="3" t="s">
        <v>85</v>
      </c>
      <c r="D36" s="3">
        <v>1</v>
      </c>
      <c r="E36" s="37">
        <f>13501.37*1.2</f>
        <v>16201.644</v>
      </c>
      <c r="F36" s="41">
        <v>0.2</v>
      </c>
      <c r="G36" s="348">
        <f>E36/(1-F36)</f>
        <v>20252.055</v>
      </c>
      <c r="H36" s="371">
        <f>250*2</f>
        <v>500</v>
      </c>
      <c r="I36" s="83">
        <v>0.15</v>
      </c>
      <c r="J36" s="79">
        <f>H36*(1+I36)</f>
        <v>575</v>
      </c>
      <c r="K36" s="349">
        <f>J36*D36</f>
        <v>575</v>
      </c>
      <c r="L36" s="350">
        <f>G36+J36</f>
        <v>20827.055</v>
      </c>
      <c r="M36" s="351">
        <f>D36*L36</f>
        <v>20827.055</v>
      </c>
      <c r="N36" s="258"/>
      <c r="O36" s="258"/>
    </row>
    <row r="37" spans="1:15" ht="28.5" customHeight="1" thickBot="1" x14ac:dyDescent="0.35">
      <c r="A37" s="381" t="s">
        <v>117</v>
      </c>
      <c r="B37" s="446" t="s">
        <v>118</v>
      </c>
      <c r="C37" s="67" t="s">
        <v>85</v>
      </c>
      <c r="D37" s="67">
        <v>0</v>
      </c>
      <c r="E37" s="69">
        <f>13501.37*1.2</f>
        <v>16201.644</v>
      </c>
      <c r="F37" s="52">
        <v>0.2</v>
      </c>
      <c r="G37" s="376">
        <f>E37/(1-F37)</f>
        <v>20252.055</v>
      </c>
      <c r="H37" s="377">
        <f>250*2</f>
        <v>500</v>
      </c>
      <c r="I37" s="83">
        <v>0.15</v>
      </c>
      <c r="J37" s="79">
        <f>H37*(1+I37)</f>
        <v>575</v>
      </c>
      <c r="K37" s="382">
        <f>J37*D37</f>
        <v>0</v>
      </c>
      <c r="L37" s="350">
        <f>G37+J37</f>
        <v>20827.055</v>
      </c>
      <c r="M37" s="378">
        <f>D37*L37</f>
        <v>0</v>
      </c>
      <c r="N37" s="258"/>
      <c r="O37" s="258"/>
    </row>
    <row r="38" spans="1:15" ht="14.5" customHeight="1" thickBot="1" x14ac:dyDescent="0.35">
      <c r="A38" s="354"/>
      <c r="B38" s="441"/>
      <c r="C38" s="71"/>
      <c r="D38" s="72"/>
      <c r="E38" s="73"/>
      <c r="F38" s="74"/>
      <c r="G38" s="356"/>
      <c r="H38" s="356"/>
      <c r="I38" s="73"/>
      <c r="J38" s="73"/>
      <c r="K38" s="357"/>
      <c r="L38" s="358"/>
      <c r="M38" s="358"/>
      <c r="N38" s="258"/>
      <c r="O38" s="258"/>
    </row>
    <row r="39" spans="1:15" ht="16.5" customHeight="1" x14ac:dyDescent="0.3">
      <c r="A39" s="359">
        <v>2.8</v>
      </c>
      <c r="B39" s="360"/>
      <c r="C39" s="255"/>
      <c r="D39" s="58" t="s">
        <v>119</v>
      </c>
      <c r="E39" s="56"/>
      <c r="F39" s="57"/>
      <c r="G39" s="361"/>
      <c r="H39" s="361"/>
      <c r="I39" s="56"/>
      <c r="J39" s="56"/>
      <c r="K39" s="362"/>
      <c r="L39" s="363"/>
      <c r="M39" s="363"/>
      <c r="N39" s="258"/>
      <c r="O39" s="258"/>
    </row>
    <row r="40" spans="1:15" ht="16.5" customHeight="1" x14ac:dyDescent="0.3">
      <c r="A40" s="384"/>
      <c r="B40" s="342"/>
      <c r="C40" s="30"/>
      <c r="D40" s="1"/>
      <c r="E40" s="36"/>
      <c r="F40" s="41"/>
      <c r="G40" s="348"/>
      <c r="H40" s="348"/>
      <c r="I40" s="83"/>
      <c r="J40" s="79"/>
      <c r="K40" s="349"/>
      <c r="L40" s="350"/>
      <c r="M40" s="351"/>
      <c r="N40" s="258"/>
      <c r="O40" s="258"/>
    </row>
    <row r="41" spans="1:15" ht="14.15" customHeight="1" x14ac:dyDescent="0.3">
      <c r="A41" s="341" t="s">
        <v>120</v>
      </c>
      <c r="B41" s="385" t="s">
        <v>121</v>
      </c>
      <c r="C41" s="30" t="s">
        <v>85</v>
      </c>
      <c r="D41" s="1">
        <v>0</v>
      </c>
      <c r="E41" s="36">
        <v>2500</v>
      </c>
      <c r="F41" s="41">
        <v>0.2</v>
      </c>
      <c r="G41" s="348">
        <f>E41/(1-F41)</f>
        <v>3125</v>
      </c>
      <c r="H41" s="348">
        <f>(250+100)*4</f>
        <v>1400</v>
      </c>
      <c r="I41" s="83">
        <v>0.15</v>
      </c>
      <c r="J41" s="79">
        <f>H41*(1+I41)</f>
        <v>1609.9999999999998</v>
      </c>
      <c r="K41" s="349">
        <f>J41*D41</f>
        <v>0</v>
      </c>
      <c r="L41" s="350">
        <f>G41+J41</f>
        <v>4735</v>
      </c>
      <c r="M41" s="351">
        <f>D41*L41</f>
        <v>0</v>
      </c>
      <c r="N41" s="258"/>
      <c r="O41" s="258"/>
    </row>
    <row r="42" spans="1:15" ht="14.15" customHeight="1" x14ac:dyDescent="0.3">
      <c r="A42" s="341"/>
      <c r="B42" s="448"/>
      <c r="C42" s="27"/>
      <c r="D42" s="1"/>
      <c r="E42" s="36"/>
      <c r="F42" s="41"/>
      <c r="G42" s="348"/>
      <c r="H42" s="348"/>
      <c r="I42" s="79"/>
      <c r="J42" s="79"/>
      <c r="K42" s="349"/>
      <c r="L42" s="350"/>
      <c r="M42" s="351"/>
      <c r="N42" s="258"/>
      <c r="O42" s="258"/>
    </row>
    <row r="43" spans="1:15" ht="14.15" customHeight="1" x14ac:dyDescent="0.3">
      <c r="A43" s="341" t="s">
        <v>122</v>
      </c>
      <c r="B43" s="385" t="s">
        <v>123</v>
      </c>
      <c r="C43" s="30" t="s">
        <v>85</v>
      </c>
      <c r="D43" s="1">
        <v>2</v>
      </c>
      <c r="E43" s="36">
        <v>1800</v>
      </c>
      <c r="F43" s="41">
        <v>0.2</v>
      </c>
      <c r="G43" s="348">
        <f>E43/(1-F43)</f>
        <v>2250</v>
      </c>
      <c r="H43" s="348">
        <f>(250+100)*4</f>
        <v>1400</v>
      </c>
      <c r="I43" s="83">
        <v>0.15</v>
      </c>
      <c r="J43" s="79">
        <f>H43*(1+I43)</f>
        <v>1609.9999999999998</v>
      </c>
      <c r="K43" s="349">
        <f>J43*D43</f>
        <v>3219.9999999999995</v>
      </c>
      <c r="L43" s="350">
        <f>G43+J43</f>
        <v>3860</v>
      </c>
      <c r="M43" s="351">
        <f>D43*L43</f>
        <v>7720</v>
      </c>
      <c r="N43" s="258"/>
      <c r="O43" s="258"/>
    </row>
    <row r="44" spans="1:15" ht="14.15" customHeight="1" x14ac:dyDescent="0.3">
      <c r="A44" s="341"/>
      <c r="B44" s="385"/>
      <c r="C44" s="30"/>
      <c r="D44" s="1"/>
      <c r="E44" s="36"/>
      <c r="F44" s="41"/>
      <c r="G44" s="348"/>
      <c r="H44" s="348"/>
      <c r="I44" s="79"/>
      <c r="J44" s="79"/>
      <c r="K44" s="349"/>
      <c r="L44" s="350"/>
      <c r="M44" s="351"/>
      <c r="N44" s="258"/>
      <c r="O44" s="258"/>
    </row>
    <row r="45" spans="1:15" ht="14.15" customHeight="1" x14ac:dyDescent="0.3">
      <c r="A45" s="341" t="s">
        <v>124</v>
      </c>
      <c r="B45" s="385" t="s">
        <v>125</v>
      </c>
      <c r="C45" s="30" t="s">
        <v>85</v>
      </c>
      <c r="D45" s="1">
        <f>8  +N("8 Isolators")</f>
        <v>8</v>
      </c>
      <c r="E45" s="36">
        <f>800</f>
        <v>800</v>
      </c>
      <c r="F45" s="41">
        <v>0.2</v>
      </c>
      <c r="G45" s="348">
        <f>E45/(1-F45)</f>
        <v>1000</v>
      </c>
      <c r="H45" s="348">
        <f>(250+100)*4</f>
        <v>1400</v>
      </c>
      <c r="I45" s="83">
        <v>0.15</v>
      </c>
      <c r="J45" s="79">
        <f>H45*(1+I45)</f>
        <v>1609.9999999999998</v>
      </c>
      <c r="K45" s="349">
        <f>J45*D45</f>
        <v>12879.999999999998</v>
      </c>
      <c r="L45" s="350">
        <f>G45+J45</f>
        <v>2610</v>
      </c>
      <c r="M45" s="351">
        <f>D45*L45</f>
        <v>20880</v>
      </c>
      <c r="N45" s="258"/>
      <c r="O45" s="258"/>
    </row>
    <row r="46" spans="1:15" ht="14.15" customHeight="1" x14ac:dyDescent="0.3">
      <c r="A46" s="341"/>
      <c r="B46" s="387"/>
      <c r="C46" s="27"/>
      <c r="D46" s="1"/>
      <c r="E46" s="36"/>
      <c r="F46" s="41"/>
      <c r="G46" s="348"/>
      <c r="H46" s="348"/>
      <c r="I46" s="79"/>
      <c r="J46" s="79"/>
      <c r="K46" s="349"/>
      <c r="L46" s="350"/>
      <c r="M46" s="351"/>
      <c r="N46" s="258"/>
      <c r="O46" s="258"/>
    </row>
    <row r="47" spans="1:15" ht="14.5" customHeight="1" thickBot="1" x14ac:dyDescent="0.35">
      <c r="A47" s="381" t="s">
        <v>126</v>
      </c>
      <c r="B47" s="388" t="s">
        <v>127</v>
      </c>
      <c r="C47" s="49" t="s">
        <v>85</v>
      </c>
      <c r="D47" s="50">
        <v>1</v>
      </c>
      <c r="E47" s="51">
        <f>550*1.2</f>
        <v>660</v>
      </c>
      <c r="F47" s="52">
        <v>0.2</v>
      </c>
      <c r="G47" s="376">
        <f>E47/(1-F47)</f>
        <v>825</v>
      </c>
      <c r="H47" s="376">
        <f>(250+100)*4</f>
        <v>1400</v>
      </c>
      <c r="I47" s="83">
        <v>0.15</v>
      </c>
      <c r="J47" s="79">
        <f>H47*(1+I47)</f>
        <v>1609.9999999999998</v>
      </c>
      <c r="K47" s="349">
        <f>J47*D47</f>
        <v>1609.9999999999998</v>
      </c>
      <c r="L47" s="350">
        <f>G47+J47</f>
        <v>2435</v>
      </c>
      <c r="M47" s="378">
        <f>D47*L47</f>
        <v>2435</v>
      </c>
      <c r="N47" s="258"/>
      <c r="O47" s="258"/>
    </row>
    <row r="48" spans="1:15" ht="14.5" customHeight="1" thickBot="1" x14ac:dyDescent="0.35">
      <c r="A48" s="354"/>
      <c r="B48" s="441"/>
      <c r="C48" s="71"/>
      <c r="D48" s="72"/>
      <c r="E48" s="73"/>
      <c r="F48" s="74"/>
      <c r="G48" s="356"/>
      <c r="H48" s="356"/>
      <c r="I48" s="73"/>
      <c r="J48" s="73"/>
      <c r="K48" s="357"/>
      <c r="L48" s="358"/>
      <c r="M48" s="358"/>
      <c r="N48" s="258"/>
      <c r="O48" s="258"/>
    </row>
    <row r="49" spans="1:15" ht="16.5" customHeight="1" x14ac:dyDescent="0.3">
      <c r="A49" s="359">
        <v>2.9</v>
      </c>
      <c r="B49" s="367"/>
      <c r="C49" s="255"/>
      <c r="D49" s="58" t="s">
        <v>128</v>
      </c>
      <c r="E49" s="56"/>
      <c r="F49" s="57"/>
      <c r="G49" s="361"/>
      <c r="H49" s="361"/>
      <c r="I49" s="56"/>
      <c r="J49" s="56"/>
      <c r="K49" s="362"/>
      <c r="L49" s="363"/>
      <c r="M49" s="363"/>
      <c r="N49" s="258"/>
      <c r="O49" s="258"/>
    </row>
    <row r="50" spans="1:15" ht="16.5" customHeight="1" x14ac:dyDescent="0.3">
      <c r="A50" s="341"/>
      <c r="B50" s="342"/>
      <c r="C50" s="30"/>
      <c r="D50" s="1"/>
      <c r="E50" s="36"/>
      <c r="F50" s="41"/>
      <c r="G50" s="348"/>
      <c r="H50" s="348"/>
      <c r="I50" s="79"/>
      <c r="J50" s="79"/>
      <c r="K50" s="349"/>
      <c r="L50" s="350"/>
      <c r="M50" s="351"/>
      <c r="N50" s="258"/>
      <c r="O50" s="258"/>
    </row>
    <row r="51" spans="1:15" ht="14.15" customHeight="1" x14ac:dyDescent="0.3">
      <c r="A51" s="341" t="s">
        <v>129</v>
      </c>
      <c r="B51" s="385" t="s">
        <v>130</v>
      </c>
      <c r="C51" s="30" t="s">
        <v>85</v>
      </c>
      <c r="D51" s="1">
        <v>0</v>
      </c>
      <c r="E51" s="36">
        <v>2500</v>
      </c>
      <c r="F51" s="41">
        <v>0.2</v>
      </c>
      <c r="G51" s="348">
        <f>E51/(1-F51)</f>
        <v>3125</v>
      </c>
      <c r="H51" s="348">
        <f>250*1</f>
        <v>250</v>
      </c>
      <c r="I51" s="83">
        <v>0.15</v>
      </c>
      <c r="J51" s="79">
        <f>H51*(1+I51)</f>
        <v>287.5</v>
      </c>
      <c r="K51" s="349">
        <f>J51*D51</f>
        <v>0</v>
      </c>
      <c r="L51" s="350">
        <f>G51+J51</f>
        <v>3412.5</v>
      </c>
      <c r="M51" s="351">
        <f>D51*L51</f>
        <v>0</v>
      </c>
      <c r="N51" s="258"/>
      <c r="O51" s="258"/>
    </row>
    <row r="52" spans="1:15" ht="14.15" customHeight="1" x14ac:dyDescent="0.3">
      <c r="A52" s="341"/>
      <c r="B52" s="385"/>
      <c r="C52" s="30"/>
      <c r="D52" s="1"/>
      <c r="E52" s="36"/>
      <c r="F52" s="41"/>
      <c r="G52" s="348"/>
      <c r="H52" s="348"/>
      <c r="I52" s="79"/>
      <c r="J52" s="79"/>
      <c r="K52" s="349"/>
      <c r="L52" s="350"/>
      <c r="M52" s="351"/>
      <c r="N52" s="258"/>
      <c r="O52" s="258"/>
    </row>
    <row r="53" spans="1:15" ht="14.15" customHeight="1" x14ac:dyDescent="0.3">
      <c r="A53" s="341" t="s">
        <v>131</v>
      </c>
      <c r="B53" s="385" t="s">
        <v>132</v>
      </c>
      <c r="C53" s="30" t="s">
        <v>85</v>
      </c>
      <c r="D53" s="1">
        <f>8 + N("6 DB's + 1 for AC In + 1 for AC out")</f>
        <v>8</v>
      </c>
      <c r="E53" s="36">
        <v>5729</v>
      </c>
      <c r="F53" s="41">
        <v>0.2</v>
      </c>
      <c r="G53" s="348">
        <f>E53/(1-F53)</f>
        <v>7161.25</v>
      </c>
      <c r="H53" s="348">
        <v>250</v>
      </c>
      <c r="I53" s="83">
        <v>0.15</v>
      </c>
      <c r="J53" s="79">
        <f>H53*(1+I53)</f>
        <v>287.5</v>
      </c>
      <c r="K53" s="349">
        <f>J53*D53</f>
        <v>2300</v>
      </c>
      <c r="L53" s="350">
        <f>G53+J53</f>
        <v>7448.75</v>
      </c>
      <c r="M53" s="351">
        <f>D53*L53</f>
        <v>59590</v>
      </c>
      <c r="N53" s="258"/>
      <c r="O53" s="258"/>
    </row>
    <row r="54" spans="1:15" ht="14.15" customHeight="1" x14ac:dyDescent="0.3">
      <c r="A54" s="341"/>
      <c r="B54" s="387"/>
      <c r="C54" s="27"/>
      <c r="D54" s="1"/>
      <c r="E54" s="36"/>
      <c r="F54" s="41"/>
      <c r="G54" s="348"/>
      <c r="H54" s="348"/>
      <c r="I54" s="79"/>
      <c r="J54" s="79"/>
      <c r="K54" s="349"/>
      <c r="L54" s="350"/>
      <c r="M54" s="351"/>
      <c r="N54" s="258"/>
      <c r="O54" s="258"/>
    </row>
    <row r="55" spans="1:15" ht="14.15" customHeight="1" x14ac:dyDescent="0.3">
      <c r="A55" s="341" t="s">
        <v>133</v>
      </c>
      <c r="B55" s="387" t="s">
        <v>134</v>
      </c>
      <c r="C55" s="30" t="s">
        <v>85</v>
      </c>
      <c r="D55" s="1">
        <v>1</v>
      </c>
      <c r="E55" s="36">
        <f>5729</f>
        <v>5729</v>
      </c>
      <c r="F55" s="41">
        <v>0.2</v>
      </c>
      <c r="G55" s="348">
        <f>E55/(1-F55)</f>
        <v>7161.25</v>
      </c>
      <c r="H55" s="348">
        <v>250</v>
      </c>
      <c r="I55" s="83">
        <v>0.15</v>
      </c>
      <c r="J55" s="79">
        <f>H55*(1+I55)</f>
        <v>287.5</v>
      </c>
      <c r="K55" s="349">
        <f>J55*D55</f>
        <v>287.5</v>
      </c>
      <c r="L55" s="350">
        <f>G55+J55</f>
        <v>7448.75</v>
      </c>
      <c r="M55" s="351">
        <f>D55*L55</f>
        <v>7448.75</v>
      </c>
      <c r="N55" s="258"/>
      <c r="O55" s="258"/>
    </row>
    <row r="56" spans="1:15" ht="14.15" customHeight="1" x14ac:dyDescent="0.3">
      <c r="A56" s="341"/>
      <c r="B56" s="387"/>
      <c r="C56" s="29"/>
      <c r="D56" s="1"/>
      <c r="E56" s="36"/>
      <c r="F56" s="41"/>
      <c r="G56" s="348"/>
      <c r="H56" s="348"/>
      <c r="I56" s="79"/>
      <c r="J56" s="79"/>
      <c r="K56" s="349"/>
      <c r="L56" s="350"/>
      <c r="M56" s="351"/>
      <c r="N56" s="258"/>
      <c r="O56" s="258"/>
    </row>
    <row r="57" spans="1:15" ht="28" customHeight="1" x14ac:dyDescent="0.3">
      <c r="A57" s="341" t="s">
        <v>135</v>
      </c>
      <c r="B57" s="385" t="s">
        <v>136</v>
      </c>
      <c r="C57" s="248" t="s">
        <v>85</v>
      </c>
      <c r="D57" s="1">
        <v>3</v>
      </c>
      <c r="E57" s="36">
        <v>350</v>
      </c>
      <c r="F57" s="41">
        <v>0.2</v>
      </c>
      <c r="G57" s="348">
        <f>E57/(1-F57)</f>
        <v>437.5</v>
      </c>
      <c r="H57" s="348">
        <v>250</v>
      </c>
      <c r="I57" s="83">
        <v>0.15</v>
      </c>
      <c r="J57" s="79">
        <f>H57*(1+I57)</f>
        <v>287.5</v>
      </c>
      <c r="K57" s="349">
        <f>J57*D57</f>
        <v>862.5</v>
      </c>
      <c r="L57" s="350">
        <f>G57+J57</f>
        <v>725</v>
      </c>
      <c r="M57" s="351">
        <f>D57*L57</f>
        <v>2175</v>
      </c>
      <c r="N57" s="258"/>
      <c r="O57" s="258"/>
    </row>
    <row r="58" spans="1:15" ht="14.15" customHeight="1" x14ac:dyDescent="0.3">
      <c r="A58" s="341"/>
      <c r="B58" s="387"/>
      <c r="C58" s="88"/>
      <c r="D58" s="1"/>
      <c r="E58" s="36"/>
      <c r="F58" s="41"/>
      <c r="G58" s="348"/>
      <c r="H58" s="348"/>
      <c r="I58" s="79"/>
      <c r="J58" s="79"/>
      <c r="K58" s="349"/>
      <c r="L58" s="350"/>
      <c r="M58" s="351"/>
      <c r="N58" s="258"/>
      <c r="O58" s="258"/>
    </row>
    <row r="59" spans="1:15" ht="14.15" customHeight="1" x14ac:dyDescent="0.3">
      <c r="A59" s="341" t="s">
        <v>137</v>
      </c>
      <c r="B59" s="385" t="s">
        <v>138</v>
      </c>
      <c r="C59" s="248" t="s">
        <v>108</v>
      </c>
      <c r="D59" s="1">
        <v>20</v>
      </c>
      <c r="E59" s="36">
        <f>35</f>
        <v>35</v>
      </c>
      <c r="F59" s="41">
        <v>0.2</v>
      </c>
      <c r="G59" s="348">
        <f>E59/(1-F59)</f>
        <v>43.75</v>
      </c>
      <c r="H59" s="348">
        <f>(65*3)</f>
        <v>195</v>
      </c>
      <c r="I59" s="83">
        <v>0.15</v>
      </c>
      <c r="J59" s="79">
        <f>H59*(1+I59)</f>
        <v>224.24999999999997</v>
      </c>
      <c r="K59" s="349">
        <f>J59*D59</f>
        <v>4484.9999999999991</v>
      </c>
      <c r="L59" s="350">
        <f>G59+J59</f>
        <v>268</v>
      </c>
      <c r="M59" s="351">
        <f>D59*L59</f>
        <v>5360</v>
      </c>
      <c r="N59" s="258"/>
      <c r="O59" s="258"/>
    </row>
    <row r="60" spans="1:15" ht="14.15" customHeight="1" x14ac:dyDescent="0.3">
      <c r="A60" s="341"/>
      <c r="B60" s="387"/>
      <c r="C60" s="29"/>
      <c r="D60" s="1"/>
      <c r="E60" s="36"/>
      <c r="F60" s="41"/>
      <c r="G60" s="348"/>
      <c r="H60" s="348"/>
      <c r="I60" s="79"/>
      <c r="J60" s="79"/>
      <c r="K60" s="349"/>
      <c r="L60" s="350"/>
      <c r="M60" s="351"/>
      <c r="N60" s="258"/>
      <c r="O60" s="258"/>
    </row>
    <row r="61" spans="1:15" ht="14.5" customHeight="1" thickBot="1" x14ac:dyDescent="0.35">
      <c r="A61" s="341" t="s">
        <v>139</v>
      </c>
      <c r="B61" s="385" t="s">
        <v>140</v>
      </c>
      <c r="C61" s="30" t="s">
        <v>42</v>
      </c>
      <c r="D61" s="1">
        <v>1</v>
      </c>
      <c r="E61" s="36">
        <v>1</v>
      </c>
      <c r="F61" s="41">
        <v>0.2</v>
      </c>
      <c r="G61" s="348">
        <f>E61/(1-F61)</f>
        <v>1.25</v>
      </c>
      <c r="H61" s="348">
        <f>2500*3</f>
        <v>7500</v>
      </c>
      <c r="I61" s="83">
        <v>0.15</v>
      </c>
      <c r="J61" s="79">
        <f>H61*(1+I61)</f>
        <v>8625</v>
      </c>
      <c r="K61" s="349">
        <f>J61*D61</f>
        <v>8625</v>
      </c>
      <c r="L61" s="350">
        <f>G61+J61</f>
        <v>8626.25</v>
      </c>
      <c r="M61" s="351">
        <f>D61*L61</f>
        <v>8626.25</v>
      </c>
      <c r="N61" s="258"/>
      <c r="O61" s="258"/>
    </row>
    <row r="62" spans="1:15" ht="14.5" customHeight="1" thickBot="1" x14ac:dyDescent="0.35">
      <c r="A62" s="354"/>
      <c r="B62" s="441"/>
      <c r="C62" s="71"/>
      <c r="D62" s="72"/>
      <c r="E62" s="73"/>
      <c r="F62" s="74"/>
      <c r="G62" s="356"/>
      <c r="H62" s="356"/>
      <c r="I62" s="73"/>
      <c r="J62" s="73"/>
      <c r="K62" s="357"/>
      <c r="L62" s="358"/>
      <c r="M62" s="358"/>
      <c r="N62" s="258"/>
      <c r="O62" s="258"/>
    </row>
    <row r="63" spans="1:15" ht="14.15" customHeight="1" x14ac:dyDescent="0.3">
      <c r="A63" s="389">
        <v>2.1</v>
      </c>
      <c r="B63" s="390"/>
      <c r="C63" s="251"/>
      <c r="D63" s="65" t="s">
        <v>141</v>
      </c>
      <c r="E63" s="53"/>
      <c r="F63" s="54"/>
      <c r="G63" s="391"/>
      <c r="H63" s="391"/>
      <c r="I63" s="53"/>
      <c r="J63" s="53"/>
      <c r="K63" s="392"/>
      <c r="L63" s="393"/>
      <c r="M63" s="393"/>
      <c r="N63" s="258"/>
      <c r="O63" s="258"/>
    </row>
    <row r="64" spans="1:15" ht="28" customHeight="1" x14ac:dyDescent="0.3">
      <c r="A64" s="370" t="s">
        <v>142</v>
      </c>
      <c r="B64" s="444" t="s">
        <v>143</v>
      </c>
      <c r="C64" s="7" t="s">
        <v>90</v>
      </c>
      <c r="D64" s="7">
        <v>3</v>
      </c>
      <c r="E64" s="37">
        <v>10000</v>
      </c>
      <c r="F64" s="41">
        <v>0.16</v>
      </c>
      <c r="G64" s="348">
        <f>E64/(1-F64)</f>
        <v>11904.761904761905</v>
      </c>
      <c r="H64" s="371">
        <v>200</v>
      </c>
      <c r="I64" s="83">
        <v>0.15</v>
      </c>
      <c r="J64" s="79">
        <f>H64*(1+I64)</f>
        <v>229.99999999999997</v>
      </c>
      <c r="K64" s="349">
        <f>J64*D64</f>
        <v>689.99999999999989</v>
      </c>
      <c r="L64" s="350">
        <f>G64+J64</f>
        <v>12134.761904761905</v>
      </c>
      <c r="M64" s="351">
        <f>D64*L64</f>
        <v>36404.28571428571</v>
      </c>
      <c r="N64" s="258"/>
      <c r="O64" s="258"/>
    </row>
    <row r="65" spans="1:15" ht="14.15" customHeight="1" x14ac:dyDescent="0.3">
      <c r="A65" s="394"/>
      <c r="B65" s="395"/>
      <c r="C65" s="30"/>
      <c r="D65" s="248"/>
      <c r="E65" s="36"/>
      <c r="F65" s="41"/>
      <c r="G65" s="348"/>
      <c r="H65" s="348"/>
      <c r="I65" s="79"/>
      <c r="J65" s="79"/>
      <c r="K65" s="349"/>
      <c r="L65" s="350"/>
      <c r="M65" s="351"/>
      <c r="N65" s="258"/>
      <c r="O65" s="258"/>
    </row>
    <row r="66" spans="1:15" ht="28.5" customHeight="1" thickBot="1" x14ac:dyDescent="0.35">
      <c r="A66" s="396" t="s">
        <v>144</v>
      </c>
      <c r="B66" s="446" t="s">
        <v>145</v>
      </c>
      <c r="C66" s="67" t="s">
        <v>90</v>
      </c>
      <c r="D66" s="67">
        <v>0</v>
      </c>
      <c r="E66" s="69">
        <v>7500</v>
      </c>
      <c r="F66" s="52">
        <v>0.16</v>
      </c>
      <c r="G66" s="376">
        <f>E66/(1-F66)</f>
        <v>8928.5714285714294</v>
      </c>
      <c r="H66" s="377">
        <v>200</v>
      </c>
      <c r="I66" s="83">
        <v>0.15</v>
      </c>
      <c r="J66" s="79">
        <f>H66*(1+I66)</f>
        <v>229.99999999999997</v>
      </c>
      <c r="K66" s="382">
        <f>J66*D66</f>
        <v>0</v>
      </c>
      <c r="L66" s="350">
        <f>G66+J66</f>
        <v>9158.5714285714294</v>
      </c>
      <c r="M66" s="378">
        <f>D66*L66</f>
        <v>0</v>
      </c>
      <c r="N66" s="258"/>
      <c r="O66" s="258"/>
    </row>
    <row r="67" spans="1:15" ht="14.5" customHeight="1" thickBot="1" x14ac:dyDescent="0.35">
      <c r="A67" s="397"/>
      <c r="B67" s="449"/>
      <c r="C67" s="71"/>
      <c r="D67" s="72"/>
      <c r="E67" s="73"/>
      <c r="F67" s="74"/>
      <c r="G67" s="356"/>
      <c r="H67" s="356"/>
      <c r="I67" s="73"/>
      <c r="J67" s="73"/>
      <c r="K67" s="357"/>
      <c r="L67" s="358"/>
      <c r="M67" s="358"/>
      <c r="N67" s="258"/>
      <c r="O67" s="258"/>
    </row>
    <row r="68" spans="1:15" ht="14.15" customHeight="1" x14ac:dyDescent="0.3">
      <c r="A68" s="359">
        <v>2.11</v>
      </c>
      <c r="B68" s="450"/>
      <c r="C68" s="75"/>
      <c r="D68" s="58" t="s">
        <v>146</v>
      </c>
      <c r="E68" s="56"/>
      <c r="F68" s="57"/>
      <c r="G68" s="361"/>
      <c r="H68" s="361"/>
      <c r="I68" s="56"/>
      <c r="J68" s="56"/>
      <c r="K68" s="362"/>
      <c r="L68" s="363"/>
      <c r="M68" s="363"/>
      <c r="N68" s="258"/>
      <c r="O68" s="258"/>
    </row>
    <row r="69" spans="1:15" ht="14.15" customHeight="1" x14ac:dyDescent="0.3">
      <c r="A69" s="341"/>
      <c r="B69" s="444"/>
      <c r="C69" s="70"/>
      <c r="D69" s="1"/>
      <c r="E69" s="36"/>
      <c r="F69" s="41"/>
      <c r="G69" s="348"/>
      <c r="H69" s="348"/>
      <c r="I69" s="79"/>
      <c r="J69" s="79"/>
      <c r="K69" s="349"/>
      <c r="L69" s="350"/>
      <c r="M69" s="351"/>
      <c r="N69" s="258"/>
      <c r="O69" s="258"/>
    </row>
    <row r="70" spans="1:15" ht="14.15" customHeight="1" x14ac:dyDescent="0.3">
      <c r="A70" s="341"/>
      <c r="B70" s="443" t="s">
        <v>147</v>
      </c>
      <c r="C70" s="27"/>
      <c r="D70" s="1"/>
      <c r="E70" s="36"/>
      <c r="F70" s="41"/>
      <c r="G70" s="348"/>
      <c r="H70" s="348"/>
      <c r="I70" s="79"/>
      <c r="J70" s="79"/>
      <c r="K70" s="349"/>
      <c r="L70" s="350"/>
      <c r="M70" s="351"/>
      <c r="N70" s="258"/>
      <c r="O70" s="258"/>
    </row>
    <row r="71" spans="1:15" ht="14.15" customHeight="1" x14ac:dyDescent="0.3">
      <c r="A71" s="341"/>
      <c r="B71" s="448"/>
      <c r="C71" s="27"/>
      <c r="D71" s="1"/>
      <c r="E71" s="36"/>
      <c r="F71" s="41"/>
      <c r="G71" s="348"/>
      <c r="H71" s="348"/>
      <c r="I71" s="79"/>
      <c r="J71" s="79"/>
      <c r="K71" s="349"/>
      <c r="L71" s="350"/>
      <c r="M71" s="351"/>
      <c r="N71" s="258"/>
      <c r="O71" s="258"/>
    </row>
    <row r="72" spans="1:15" ht="42" customHeight="1" x14ac:dyDescent="0.3">
      <c r="A72" s="341"/>
      <c r="B72" s="448" t="s">
        <v>148</v>
      </c>
      <c r="C72" s="27"/>
      <c r="D72" s="248"/>
      <c r="E72" s="36"/>
      <c r="F72" s="41"/>
      <c r="G72" s="348"/>
      <c r="H72" s="348"/>
      <c r="I72" s="79"/>
      <c r="J72" s="79"/>
      <c r="K72" s="349"/>
      <c r="L72" s="350"/>
      <c r="M72" s="351"/>
      <c r="N72" s="258"/>
      <c r="O72" s="258"/>
    </row>
    <row r="73" spans="1:15" ht="14.15" customHeight="1" x14ac:dyDescent="0.3">
      <c r="A73" s="384"/>
      <c r="B73" s="443"/>
      <c r="C73" s="27"/>
      <c r="D73" s="28"/>
      <c r="E73" s="38"/>
      <c r="F73" s="41"/>
      <c r="G73" s="348"/>
      <c r="H73" s="400"/>
      <c r="I73" s="81"/>
      <c r="J73" s="81"/>
      <c r="K73" s="349"/>
      <c r="L73" s="350"/>
      <c r="M73" s="351"/>
      <c r="N73" s="258"/>
      <c r="O73" s="258"/>
    </row>
    <row r="74" spans="1:15" ht="14.15" customHeight="1" x14ac:dyDescent="0.3">
      <c r="A74" s="341" t="s">
        <v>149</v>
      </c>
      <c r="B74" s="443" t="s">
        <v>150</v>
      </c>
      <c r="C74" s="27" t="s">
        <v>108</v>
      </c>
      <c r="D74" s="1">
        <v>0</v>
      </c>
      <c r="E74" s="36">
        <v>947.75</v>
      </c>
      <c r="F74" s="41">
        <v>0.25</v>
      </c>
      <c r="G74" s="348">
        <f t="shared" ref="G74:G79" si="0">E74/(1-F74)</f>
        <v>1263.6666666666667</v>
      </c>
      <c r="H74" s="348">
        <v>25</v>
      </c>
      <c r="I74" s="83">
        <v>0.15</v>
      </c>
      <c r="J74" s="79">
        <f t="shared" ref="J74:J79" si="1">H74*(1+I74)</f>
        <v>28.749999999999996</v>
      </c>
      <c r="K74" s="349">
        <f t="shared" ref="K74:K79" si="2">J74*D74</f>
        <v>0</v>
      </c>
      <c r="L74" s="350">
        <f t="shared" ref="L74:L79" si="3">G74+J74</f>
        <v>1292.4166666666667</v>
      </c>
      <c r="M74" s="351">
        <f t="shared" ref="M74:M79" si="4">D74*L74</f>
        <v>0</v>
      </c>
      <c r="N74" s="258"/>
      <c r="O74" s="258"/>
    </row>
    <row r="75" spans="1:15" ht="14.15" customHeight="1" x14ac:dyDescent="0.3">
      <c r="A75" s="341" t="s">
        <v>151</v>
      </c>
      <c r="B75" s="443" t="s">
        <v>152</v>
      </c>
      <c r="C75" s="27" t="s">
        <v>108</v>
      </c>
      <c r="D75" s="1">
        <v>0</v>
      </c>
      <c r="E75" s="36">
        <v>686.12</v>
      </c>
      <c r="F75" s="41">
        <v>0.25</v>
      </c>
      <c r="G75" s="348">
        <f t="shared" si="0"/>
        <v>914.82666666666671</v>
      </c>
      <c r="H75" s="348">
        <v>25</v>
      </c>
      <c r="I75" s="83">
        <v>0.15</v>
      </c>
      <c r="J75" s="79">
        <f t="shared" si="1"/>
        <v>28.749999999999996</v>
      </c>
      <c r="K75" s="349">
        <f t="shared" si="2"/>
        <v>0</v>
      </c>
      <c r="L75" s="350">
        <f t="shared" si="3"/>
        <v>943.57666666666671</v>
      </c>
      <c r="M75" s="351">
        <f t="shared" si="4"/>
        <v>0</v>
      </c>
      <c r="N75" s="258"/>
      <c r="O75" s="258"/>
    </row>
    <row r="76" spans="1:15" ht="14.15" customHeight="1" x14ac:dyDescent="0.3">
      <c r="A76" s="341" t="s">
        <v>153</v>
      </c>
      <c r="B76" s="443" t="s">
        <v>154</v>
      </c>
      <c r="C76" s="27" t="s">
        <v>108</v>
      </c>
      <c r="D76" s="1">
        <f>65 + N("15m for AC In and 50m for distribution to first floor dbs")</f>
        <v>65</v>
      </c>
      <c r="E76" s="36">
        <v>538.9</v>
      </c>
      <c r="F76" s="41">
        <v>0.25</v>
      </c>
      <c r="G76" s="348">
        <f t="shared" si="0"/>
        <v>718.5333333333333</v>
      </c>
      <c r="H76" s="348">
        <v>25</v>
      </c>
      <c r="I76" s="83">
        <v>0.15</v>
      </c>
      <c r="J76" s="79">
        <f t="shared" si="1"/>
        <v>28.749999999999996</v>
      </c>
      <c r="K76" s="349">
        <f t="shared" si="2"/>
        <v>1868.7499999999998</v>
      </c>
      <c r="L76" s="350">
        <f t="shared" si="3"/>
        <v>747.2833333333333</v>
      </c>
      <c r="M76" s="351">
        <f t="shared" si="4"/>
        <v>48573.416666666664</v>
      </c>
      <c r="N76" s="258"/>
      <c r="O76" s="258"/>
    </row>
    <row r="77" spans="1:15" ht="14.15" customHeight="1" x14ac:dyDescent="0.3">
      <c r="A77" s="341" t="s">
        <v>155</v>
      </c>
      <c r="B77" s="443" t="s">
        <v>156</v>
      </c>
      <c r="C77" s="29" t="s">
        <v>108</v>
      </c>
      <c r="D77" s="1">
        <v>0</v>
      </c>
      <c r="E77" s="36">
        <v>450</v>
      </c>
      <c r="F77" s="41">
        <v>0.25</v>
      </c>
      <c r="G77" s="348">
        <f t="shared" si="0"/>
        <v>600</v>
      </c>
      <c r="H77" s="348">
        <v>25</v>
      </c>
      <c r="I77" s="83">
        <v>0.15</v>
      </c>
      <c r="J77" s="79">
        <f t="shared" si="1"/>
        <v>28.749999999999996</v>
      </c>
      <c r="K77" s="349">
        <f t="shared" si="2"/>
        <v>0</v>
      </c>
      <c r="L77" s="350">
        <f t="shared" si="3"/>
        <v>628.75</v>
      </c>
      <c r="M77" s="351">
        <f t="shared" si="4"/>
        <v>0</v>
      </c>
      <c r="N77" s="258"/>
      <c r="O77" s="258"/>
    </row>
    <row r="78" spans="1:15" ht="14.15" customHeight="1" x14ac:dyDescent="0.3">
      <c r="A78" s="341" t="s">
        <v>157</v>
      </c>
      <c r="B78" s="443" t="s">
        <v>158</v>
      </c>
      <c r="C78" s="29" t="s">
        <v>108</v>
      </c>
      <c r="D78" s="1">
        <f>60 + N("20m to each sub DB on second floor")</f>
        <v>60</v>
      </c>
      <c r="E78" s="36">
        <v>380</v>
      </c>
      <c r="F78" s="41">
        <v>0.25</v>
      </c>
      <c r="G78" s="348">
        <f t="shared" si="0"/>
        <v>506.66666666666669</v>
      </c>
      <c r="H78" s="348">
        <v>25</v>
      </c>
      <c r="I78" s="83">
        <v>0.15</v>
      </c>
      <c r="J78" s="79">
        <f t="shared" si="1"/>
        <v>28.749999999999996</v>
      </c>
      <c r="K78" s="349">
        <f t="shared" si="2"/>
        <v>1724.9999999999998</v>
      </c>
      <c r="L78" s="350">
        <f t="shared" si="3"/>
        <v>535.41666666666663</v>
      </c>
      <c r="M78" s="351">
        <f t="shared" si="4"/>
        <v>32124.999999999996</v>
      </c>
      <c r="N78" s="258"/>
      <c r="O78" s="258"/>
    </row>
    <row r="79" spans="1:15" ht="14.5" customHeight="1" thickBot="1" x14ac:dyDescent="0.35">
      <c r="A79" s="381" t="s">
        <v>159</v>
      </c>
      <c r="B79" s="446" t="s">
        <v>160</v>
      </c>
      <c r="C79" s="76" t="s">
        <v>108</v>
      </c>
      <c r="D79" s="50">
        <v>0</v>
      </c>
      <c r="E79" s="51">
        <f>215</f>
        <v>215</v>
      </c>
      <c r="F79" s="52">
        <v>0.25</v>
      </c>
      <c r="G79" s="376">
        <f t="shared" si="0"/>
        <v>286.66666666666669</v>
      </c>
      <c r="H79" s="376">
        <v>25</v>
      </c>
      <c r="I79" s="83">
        <v>0.15</v>
      </c>
      <c r="J79" s="79">
        <f t="shared" si="1"/>
        <v>28.749999999999996</v>
      </c>
      <c r="K79" s="349">
        <f t="shared" si="2"/>
        <v>0</v>
      </c>
      <c r="L79" s="350">
        <f t="shared" si="3"/>
        <v>315.41666666666669</v>
      </c>
      <c r="M79" s="378">
        <f t="shared" si="4"/>
        <v>0</v>
      </c>
      <c r="N79" s="258"/>
      <c r="O79" s="258"/>
    </row>
    <row r="80" spans="1:15" ht="14.5" customHeight="1" thickBot="1" x14ac:dyDescent="0.35">
      <c r="A80" s="397"/>
      <c r="B80" s="449"/>
      <c r="C80" s="71"/>
      <c r="D80" s="72"/>
      <c r="E80" s="73"/>
      <c r="F80" s="74"/>
      <c r="G80" s="356"/>
      <c r="H80" s="356"/>
      <c r="I80" s="73"/>
      <c r="J80" s="73"/>
      <c r="K80" s="357"/>
      <c r="L80" s="358"/>
      <c r="M80" s="358"/>
      <c r="N80" s="258"/>
      <c r="O80" s="258"/>
    </row>
    <row r="81" spans="1:15" ht="14.15" customHeight="1" x14ac:dyDescent="0.3">
      <c r="A81" s="359">
        <v>2.12</v>
      </c>
      <c r="B81" s="450"/>
      <c r="C81" s="75"/>
      <c r="D81" s="58" t="s">
        <v>161</v>
      </c>
      <c r="E81" s="56"/>
      <c r="F81" s="57"/>
      <c r="G81" s="361"/>
      <c r="H81" s="361"/>
      <c r="I81" s="56"/>
      <c r="J81" s="56"/>
      <c r="K81" s="362"/>
      <c r="L81" s="363"/>
      <c r="M81" s="363"/>
      <c r="N81" s="258"/>
      <c r="O81" s="258"/>
    </row>
    <row r="82" spans="1:15" ht="14.15" customHeight="1" x14ac:dyDescent="0.3">
      <c r="A82" s="341"/>
      <c r="B82" s="444"/>
      <c r="C82" s="29"/>
      <c r="D82" s="1"/>
      <c r="E82" s="36"/>
      <c r="F82" s="41"/>
      <c r="G82" s="348"/>
      <c r="H82" s="348"/>
      <c r="I82" s="79"/>
      <c r="J82" s="79"/>
      <c r="K82" s="349"/>
      <c r="L82" s="350"/>
      <c r="M82" s="351"/>
      <c r="N82" s="258"/>
      <c r="O82" s="258"/>
    </row>
    <row r="83" spans="1:15" ht="14.15" customHeight="1" x14ac:dyDescent="0.3">
      <c r="A83" s="341" t="s">
        <v>162</v>
      </c>
      <c r="B83" s="443" t="s">
        <v>163</v>
      </c>
      <c r="C83" s="29" t="s">
        <v>108</v>
      </c>
      <c r="D83" s="1">
        <f>8 +N("Wiring of AC-In DB")</f>
        <v>8</v>
      </c>
      <c r="E83" s="36">
        <v>109.45</v>
      </c>
      <c r="F83" s="41">
        <v>0.2</v>
      </c>
      <c r="G83" s="348">
        <f>E83/(1-F83)</f>
        <v>136.8125</v>
      </c>
      <c r="H83" s="348">
        <v>50</v>
      </c>
      <c r="I83" s="83">
        <v>0.15</v>
      </c>
      <c r="J83" s="79">
        <f>H83*(1+I83)</f>
        <v>57.499999999999993</v>
      </c>
      <c r="K83" s="349">
        <f>J83*D83</f>
        <v>459.99999999999994</v>
      </c>
      <c r="L83" s="350">
        <f>G83+J83</f>
        <v>194.3125</v>
      </c>
      <c r="M83" s="351">
        <f>D83*L83</f>
        <v>1554.5</v>
      </c>
      <c r="N83" s="258"/>
      <c r="O83" s="258"/>
    </row>
    <row r="84" spans="1:15" ht="14.15" customHeight="1" x14ac:dyDescent="0.3">
      <c r="A84" s="341"/>
      <c r="B84" s="443" t="s">
        <v>164</v>
      </c>
      <c r="C84" s="29" t="s">
        <v>108</v>
      </c>
      <c r="D84" s="1">
        <v>0</v>
      </c>
      <c r="E84" s="36">
        <v>70.599999999999994</v>
      </c>
      <c r="F84" s="41">
        <v>0.2</v>
      </c>
      <c r="G84" s="348">
        <f>E84/(1-F84)</f>
        <v>88.249999999999986</v>
      </c>
      <c r="H84" s="348">
        <v>50</v>
      </c>
      <c r="I84" s="83">
        <v>0.15</v>
      </c>
      <c r="J84" s="79">
        <f>H84*(1+I84)</f>
        <v>57.499999999999993</v>
      </c>
      <c r="K84" s="349">
        <f>J84*D84</f>
        <v>0</v>
      </c>
      <c r="L84" s="350">
        <f>G84+J84</f>
        <v>145.74999999999997</v>
      </c>
      <c r="M84" s="351">
        <f>D84*L84</f>
        <v>0</v>
      </c>
      <c r="N84" s="258"/>
      <c r="O84" s="258"/>
    </row>
    <row r="85" spans="1:15" ht="14.5" customHeight="1" thickBot="1" x14ac:dyDescent="0.35">
      <c r="A85" s="381"/>
      <c r="B85" s="446" t="s">
        <v>165</v>
      </c>
      <c r="C85" s="76" t="s">
        <v>108</v>
      </c>
      <c r="D85" s="50">
        <f>12 + N("2m per 6 DB")</f>
        <v>12</v>
      </c>
      <c r="E85" s="51">
        <v>22.91</v>
      </c>
      <c r="F85" s="52">
        <v>0.2</v>
      </c>
      <c r="G85" s="376">
        <f>E85/(1-F85)</f>
        <v>28.637499999999999</v>
      </c>
      <c r="H85" s="376">
        <v>50</v>
      </c>
      <c r="I85" s="83">
        <v>0.15</v>
      </c>
      <c r="J85" s="79">
        <f>H85*(1+I85)</f>
        <v>57.499999999999993</v>
      </c>
      <c r="K85" s="349">
        <f>J85*D85</f>
        <v>689.99999999999989</v>
      </c>
      <c r="L85" s="350">
        <f>G85+J85</f>
        <v>86.137499999999989</v>
      </c>
      <c r="M85" s="378">
        <f>D85*L85</f>
        <v>1033.6499999999999</v>
      </c>
      <c r="N85" s="258"/>
      <c r="O85" s="258"/>
    </row>
    <row r="86" spans="1:15" ht="14.5" customHeight="1" thickBot="1" x14ac:dyDescent="0.35">
      <c r="A86" s="397"/>
      <c r="B86" s="449"/>
      <c r="C86" s="71"/>
      <c r="D86" s="72"/>
      <c r="E86" s="73"/>
      <c r="F86" s="74"/>
      <c r="G86" s="356"/>
      <c r="H86" s="356"/>
      <c r="I86" s="73"/>
      <c r="J86" s="73"/>
      <c r="K86" s="357"/>
      <c r="L86" s="358"/>
      <c r="M86" s="358"/>
      <c r="N86" s="258"/>
      <c r="O86" s="258"/>
    </row>
    <row r="87" spans="1:15" ht="14.15" customHeight="1" x14ac:dyDescent="0.3">
      <c r="A87" s="359">
        <v>2.13</v>
      </c>
      <c r="B87" s="450"/>
      <c r="C87" s="75"/>
      <c r="D87" s="58" t="s">
        <v>166</v>
      </c>
      <c r="E87" s="56"/>
      <c r="F87" s="57"/>
      <c r="G87" s="361"/>
      <c r="H87" s="361"/>
      <c r="I87" s="56"/>
      <c r="J87" s="56"/>
      <c r="K87" s="362"/>
      <c r="L87" s="363"/>
      <c r="M87" s="363"/>
      <c r="N87" s="258"/>
      <c r="O87" s="258"/>
    </row>
    <row r="88" spans="1:15" ht="14.15" customHeight="1" x14ac:dyDescent="0.3">
      <c r="A88" s="341"/>
      <c r="B88" s="444"/>
      <c r="C88" s="29"/>
      <c r="D88" s="1"/>
      <c r="E88" s="36"/>
      <c r="F88" s="41"/>
      <c r="G88" s="348"/>
      <c r="H88" s="348"/>
      <c r="I88" s="79"/>
      <c r="J88" s="79"/>
      <c r="K88" s="349"/>
      <c r="L88" s="350"/>
      <c r="M88" s="351"/>
      <c r="N88" s="258"/>
      <c r="O88" s="258"/>
    </row>
    <row r="89" spans="1:15" ht="14.15" customHeight="1" x14ac:dyDescent="0.3">
      <c r="A89" s="341" t="s">
        <v>167</v>
      </c>
      <c r="B89" s="443" t="s">
        <v>168</v>
      </c>
      <c r="C89" s="29" t="s">
        <v>108</v>
      </c>
      <c r="D89" s="1">
        <v>0</v>
      </c>
      <c r="E89" s="36">
        <v>25</v>
      </c>
      <c r="F89" s="41">
        <v>0.2</v>
      </c>
      <c r="G89" s="348">
        <f>E89/(1-F89)</f>
        <v>31.25</v>
      </c>
      <c r="H89" s="348"/>
      <c r="I89" s="83">
        <v>0.15</v>
      </c>
      <c r="J89" s="79">
        <f>H89*(1+I89)</f>
        <v>0</v>
      </c>
      <c r="K89" s="349">
        <f>J89*D89</f>
        <v>0</v>
      </c>
      <c r="L89" s="350">
        <f>G89+J89</f>
        <v>31.25</v>
      </c>
      <c r="M89" s="351">
        <f>D89*L89</f>
        <v>0</v>
      </c>
      <c r="N89" s="258"/>
      <c r="O89" s="258"/>
    </row>
    <row r="90" spans="1:15" ht="14.15" customHeight="1" x14ac:dyDescent="0.3">
      <c r="A90" s="341" t="s">
        <v>169</v>
      </c>
      <c r="B90" s="443" t="s">
        <v>170</v>
      </c>
      <c r="C90" s="29" t="s">
        <v>108</v>
      </c>
      <c r="D90" s="1">
        <v>0</v>
      </c>
      <c r="E90" s="36">
        <v>33</v>
      </c>
      <c r="F90" s="41">
        <v>0.2</v>
      </c>
      <c r="G90" s="348">
        <f>E90/(1-F90)</f>
        <v>41.25</v>
      </c>
      <c r="H90" s="348"/>
      <c r="I90" s="83">
        <v>0.15</v>
      </c>
      <c r="J90" s="79">
        <f>H90*(1+I90)</f>
        <v>0</v>
      </c>
      <c r="K90" s="349">
        <f>J90*D90</f>
        <v>0</v>
      </c>
      <c r="L90" s="350">
        <f>G90+J90</f>
        <v>41.25</v>
      </c>
      <c r="M90" s="351">
        <f>D90*L90</f>
        <v>0</v>
      </c>
      <c r="N90" s="258"/>
      <c r="O90" s="258"/>
    </row>
    <row r="91" spans="1:15" ht="14.5" customHeight="1" thickBot="1" x14ac:dyDescent="0.35">
      <c r="A91" s="341" t="s">
        <v>171</v>
      </c>
      <c r="B91" s="451" t="s">
        <v>172</v>
      </c>
      <c r="C91" s="29" t="s">
        <v>108</v>
      </c>
      <c r="D91" s="1">
        <v>0</v>
      </c>
      <c r="E91" s="36">
        <v>37</v>
      </c>
      <c r="F91" s="41">
        <v>0.2</v>
      </c>
      <c r="G91" s="348">
        <f>E91/(1-F91)</f>
        <v>46.25</v>
      </c>
      <c r="H91" s="348"/>
      <c r="I91" s="83">
        <v>0.15</v>
      </c>
      <c r="J91" s="79">
        <f>H91*(1+I91)</f>
        <v>0</v>
      </c>
      <c r="K91" s="349">
        <f>J91*D91</f>
        <v>0</v>
      </c>
      <c r="L91" s="350">
        <f>G91+J91</f>
        <v>46.25</v>
      </c>
      <c r="M91" s="351">
        <f>D91*L91</f>
        <v>0</v>
      </c>
      <c r="N91" s="258"/>
      <c r="O91" s="258"/>
    </row>
    <row r="92" spans="1:15" ht="14.5" customHeight="1" thickBot="1" x14ac:dyDescent="0.35">
      <c r="A92" s="397"/>
      <c r="B92" s="449"/>
      <c r="C92" s="71"/>
      <c r="D92" s="72"/>
      <c r="E92" s="73"/>
      <c r="F92" s="74"/>
      <c r="G92" s="356"/>
      <c r="H92" s="356"/>
      <c r="I92" s="73"/>
      <c r="J92" s="73"/>
      <c r="K92" s="357"/>
      <c r="L92" s="358"/>
      <c r="M92" s="358"/>
      <c r="N92" s="258"/>
      <c r="O92" s="258"/>
    </row>
    <row r="93" spans="1:15" s="297" customFormat="1" ht="14.15" customHeight="1" x14ac:dyDescent="0.3">
      <c r="A93" s="402">
        <v>2.14</v>
      </c>
      <c r="B93" s="452"/>
      <c r="C93" s="78"/>
      <c r="D93" s="65" t="s">
        <v>173</v>
      </c>
      <c r="E93" s="53"/>
      <c r="F93" s="54"/>
      <c r="G93" s="391"/>
      <c r="H93" s="391"/>
      <c r="I93" s="53"/>
      <c r="J93" s="53"/>
      <c r="K93" s="392"/>
      <c r="L93" s="393"/>
      <c r="M93" s="393"/>
      <c r="N93" s="258"/>
      <c r="O93" s="258"/>
    </row>
    <row r="94" spans="1:15" s="297" customFormat="1" ht="14.15" customHeight="1" x14ac:dyDescent="0.3">
      <c r="A94" s="341"/>
      <c r="B94" s="444"/>
      <c r="C94" s="29"/>
      <c r="D94" s="1"/>
      <c r="E94" s="36"/>
      <c r="F94" s="41"/>
      <c r="G94" s="348"/>
      <c r="H94" s="348"/>
      <c r="I94" s="79"/>
      <c r="J94" s="79"/>
      <c r="K94" s="349"/>
      <c r="L94" s="350"/>
      <c r="M94" s="351"/>
      <c r="N94" s="258"/>
      <c r="O94" s="258"/>
    </row>
    <row r="95" spans="1:15" s="297" customFormat="1" ht="28" customHeight="1" x14ac:dyDescent="0.3">
      <c r="A95" s="341"/>
      <c r="B95" s="443" t="s">
        <v>174</v>
      </c>
      <c r="C95" s="29"/>
      <c r="D95" s="1"/>
      <c r="E95" s="36"/>
      <c r="F95" s="41"/>
      <c r="G95" s="348"/>
      <c r="H95" s="348"/>
      <c r="I95" s="79"/>
      <c r="J95" s="79"/>
      <c r="K95" s="349"/>
      <c r="L95" s="350"/>
      <c r="M95" s="351"/>
      <c r="N95" s="258"/>
      <c r="O95" s="258"/>
    </row>
    <row r="96" spans="1:15" s="297" customFormat="1" ht="14.15" customHeight="1" x14ac:dyDescent="0.3">
      <c r="A96" s="384"/>
      <c r="B96" s="443"/>
      <c r="C96" s="29"/>
      <c r="D96" s="1"/>
      <c r="E96" s="36"/>
      <c r="F96" s="41"/>
      <c r="G96" s="348"/>
      <c r="H96" s="348"/>
      <c r="I96" s="79"/>
      <c r="J96" s="79"/>
      <c r="K96" s="349"/>
      <c r="L96" s="350"/>
      <c r="M96" s="351"/>
      <c r="N96" s="258"/>
      <c r="O96" s="258"/>
    </row>
    <row r="97" spans="1:15" s="297" customFormat="1" ht="14.15" customHeight="1" x14ac:dyDescent="0.3">
      <c r="A97" s="341" t="s">
        <v>175</v>
      </c>
      <c r="B97" s="443" t="s">
        <v>150</v>
      </c>
      <c r="C97" s="29" t="s">
        <v>85</v>
      </c>
      <c r="D97" s="1">
        <v>0</v>
      </c>
      <c r="E97" s="36">
        <f>752.54*1.1</f>
        <v>827.79399999999998</v>
      </c>
      <c r="F97" s="41">
        <v>0.2</v>
      </c>
      <c r="G97" s="348">
        <f t="shared" ref="G97:G107" si="5">E97/(1-F97)</f>
        <v>1034.7424999999998</v>
      </c>
      <c r="H97" s="348">
        <f>(250+100)*1.5</f>
        <v>525</v>
      </c>
      <c r="I97" s="83">
        <v>0.15</v>
      </c>
      <c r="J97" s="79">
        <f t="shared" ref="J97:J107" si="6">H97*(1+I97)</f>
        <v>603.75</v>
      </c>
      <c r="K97" s="349">
        <f t="shared" ref="K97:K107" si="7">J97*D97</f>
        <v>0</v>
      </c>
      <c r="L97" s="350">
        <f t="shared" ref="L97:L107" si="8">G97+J97</f>
        <v>1638.4924999999998</v>
      </c>
      <c r="M97" s="351">
        <f t="shared" ref="M97:M107" si="9">D97*L97</f>
        <v>0</v>
      </c>
      <c r="N97" s="258"/>
      <c r="O97" s="258"/>
    </row>
    <row r="98" spans="1:15" s="297" customFormat="1" ht="14.15" customHeight="1" x14ac:dyDescent="0.3">
      <c r="A98" s="341" t="s">
        <v>176</v>
      </c>
      <c r="B98" s="443" t="s">
        <v>177</v>
      </c>
      <c r="C98" s="29" t="s">
        <v>85</v>
      </c>
      <c r="D98" s="1">
        <v>0</v>
      </c>
      <c r="E98" s="36">
        <f>350*1.1</f>
        <v>385.00000000000006</v>
      </c>
      <c r="F98" s="41">
        <v>0.2</v>
      </c>
      <c r="G98" s="348">
        <f t="shared" si="5"/>
        <v>481.25000000000006</v>
      </c>
      <c r="H98" s="348">
        <f>(250+100)*1.5</f>
        <v>525</v>
      </c>
      <c r="I98" s="83">
        <v>0.15</v>
      </c>
      <c r="J98" s="79">
        <f t="shared" si="6"/>
        <v>603.75</v>
      </c>
      <c r="K98" s="349">
        <f t="shared" si="7"/>
        <v>0</v>
      </c>
      <c r="L98" s="350">
        <f t="shared" si="8"/>
        <v>1085</v>
      </c>
      <c r="M98" s="351">
        <f t="shared" si="9"/>
        <v>0</v>
      </c>
      <c r="N98" s="258"/>
      <c r="O98" s="258"/>
    </row>
    <row r="99" spans="1:15" s="297" customFormat="1" ht="14.15" customHeight="1" x14ac:dyDescent="0.3">
      <c r="A99" s="341" t="s">
        <v>178</v>
      </c>
      <c r="B99" s="443" t="s">
        <v>152</v>
      </c>
      <c r="C99" s="29" t="s">
        <v>85</v>
      </c>
      <c r="D99" s="1">
        <v>0</v>
      </c>
      <c r="E99" s="36">
        <v>550</v>
      </c>
      <c r="F99" s="41">
        <v>0.2</v>
      </c>
      <c r="G99" s="348">
        <f t="shared" si="5"/>
        <v>687.5</v>
      </c>
      <c r="H99" s="348">
        <f>(250+100)*1.5</f>
        <v>525</v>
      </c>
      <c r="I99" s="83">
        <v>0.15</v>
      </c>
      <c r="J99" s="79">
        <f t="shared" si="6"/>
        <v>603.75</v>
      </c>
      <c r="K99" s="349">
        <f t="shared" si="7"/>
        <v>0</v>
      </c>
      <c r="L99" s="350">
        <f t="shared" si="8"/>
        <v>1291.25</v>
      </c>
      <c r="M99" s="351">
        <f t="shared" si="9"/>
        <v>0</v>
      </c>
      <c r="N99" s="258"/>
      <c r="O99" s="258"/>
    </row>
    <row r="100" spans="1:15" s="297" customFormat="1" ht="14.15" customHeight="1" x14ac:dyDescent="0.3">
      <c r="A100" s="341" t="s">
        <v>179</v>
      </c>
      <c r="B100" s="443" t="s">
        <v>154</v>
      </c>
      <c r="C100" s="29" t="s">
        <v>85</v>
      </c>
      <c r="D100" s="1">
        <v>8</v>
      </c>
      <c r="E100" s="36">
        <v>350</v>
      </c>
      <c r="F100" s="41">
        <v>0.2</v>
      </c>
      <c r="G100" s="348">
        <f t="shared" si="5"/>
        <v>437.5</v>
      </c>
      <c r="H100" s="348">
        <v>525</v>
      </c>
      <c r="I100" s="83">
        <v>0.15</v>
      </c>
      <c r="J100" s="79">
        <f t="shared" si="6"/>
        <v>603.75</v>
      </c>
      <c r="K100" s="349">
        <f t="shared" si="7"/>
        <v>4830</v>
      </c>
      <c r="L100" s="350">
        <f t="shared" si="8"/>
        <v>1041.25</v>
      </c>
      <c r="M100" s="351">
        <f t="shared" si="9"/>
        <v>8330</v>
      </c>
      <c r="N100" s="258"/>
      <c r="O100" s="258"/>
    </row>
    <row r="101" spans="1:15" s="297" customFormat="1" ht="14.5" customHeight="1" x14ac:dyDescent="0.3">
      <c r="A101" s="341" t="s">
        <v>180</v>
      </c>
      <c r="B101" s="443" t="s">
        <v>156</v>
      </c>
      <c r="C101" s="29" t="s">
        <v>85</v>
      </c>
      <c r="D101" s="1">
        <v>0</v>
      </c>
      <c r="E101" s="36"/>
      <c r="F101" s="41"/>
      <c r="G101" s="348">
        <f t="shared" si="5"/>
        <v>0</v>
      </c>
      <c r="H101" s="348">
        <v>525</v>
      </c>
      <c r="I101" s="83">
        <v>0.15</v>
      </c>
      <c r="J101" s="79">
        <f t="shared" si="6"/>
        <v>603.75</v>
      </c>
      <c r="K101" s="349">
        <f t="shared" si="7"/>
        <v>0</v>
      </c>
      <c r="L101" s="350">
        <f t="shared" si="8"/>
        <v>603.75</v>
      </c>
      <c r="M101" s="351">
        <f t="shared" si="9"/>
        <v>0</v>
      </c>
      <c r="N101" s="258"/>
      <c r="O101" s="258"/>
    </row>
    <row r="102" spans="1:15" s="297" customFormat="1" ht="14.15" customHeight="1" x14ac:dyDescent="0.3">
      <c r="A102" s="341" t="s">
        <v>181</v>
      </c>
      <c r="B102" s="443" t="s">
        <v>158</v>
      </c>
      <c r="C102" s="29" t="s">
        <v>85</v>
      </c>
      <c r="D102" s="1">
        <v>0</v>
      </c>
      <c r="E102" s="36">
        <v>350</v>
      </c>
      <c r="F102" s="41">
        <v>0.2</v>
      </c>
      <c r="G102" s="348">
        <f t="shared" si="5"/>
        <v>437.5</v>
      </c>
      <c r="H102" s="348">
        <v>525</v>
      </c>
      <c r="I102" s="83">
        <v>0.15</v>
      </c>
      <c r="J102" s="79">
        <f t="shared" si="6"/>
        <v>603.75</v>
      </c>
      <c r="K102" s="349">
        <f t="shared" si="7"/>
        <v>0</v>
      </c>
      <c r="L102" s="350">
        <f t="shared" si="8"/>
        <v>1041.25</v>
      </c>
      <c r="M102" s="351">
        <f t="shared" si="9"/>
        <v>0</v>
      </c>
      <c r="N102" s="258"/>
      <c r="O102" s="258"/>
    </row>
    <row r="103" spans="1:15" s="297" customFormat="1" ht="14.15" customHeight="1" x14ac:dyDescent="0.3">
      <c r="A103" s="341" t="s">
        <v>182</v>
      </c>
      <c r="B103" s="443" t="s">
        <v>160</v>
      </c>
      <c r="C103" s="29" t="s">
        <v>85</v>
      </c>
      <c r="D103" s="1">
        <v>0</v>
      </c>
      <c r="E103" s="36">
        <v>350</v>
      </c>
      <c r="F103" s="41">
        <v>0.2</v>
      </c>
      <c r="G103" s="348">
        <f t="shared" si="5"/>
        <v>437.5</v>
      </c>
      <c r="H103" s="348">
        <v>525</v>
      </c>
      <c r="I103" s="83">
        <v>0.15</v>
      </c>
      <c r="J103" s="79">
        <f t="shared" si="6"/>
        <v>603.75</v>
      </c>
      <c r="K103" s="349">
        <f t="shared" si="7"/>
        <v>0</v>
      </c>
      <c r="L103" s="350">
        <f t="shared" si="8"/>
        <v>1041.25</v>
      </c>
      <c r="M103" s="351">
        <f t="shared" si="9"/>
        <v>0</v>
      </c>
      <c r="N103" s="258"/>
      <c r="O103" s="258"/>
    </row>
    <row r="104" spans="1:15" s="297" customFormat="1" ht="14.15" customHeight="1" x14ac:dyDescent="0.3">
      <c r="A104" s="341" t="s">
        <v>183</v>
      </c>
      <c r="B104" s="443" t="s">
        <v>184</v>
      </c>
      <c r="C104" s="29" t="s">
        <v>85</v>
      </c>
      <c r="D104" s="1">
        <v>0</v>
      </c>
      <c r="E104" s="36"/>
      <c r="F104" s="41"/>
      <c r="G104" s="348">
        <f t="shared" si="5"/>
        <v>0</v>
      </c>
      <c r="H104" s="348">
        <v>525</v>
      </c>
      <c r="I104" s="83">
        <v>0.15</v>
      </c>
      <c r="J104" s="79">
        <f t="shared" si="6"/>
        <v>603.75</v>
      </c>
      <c r="K104" s="349">
        <f t="shared" si="7"/>
        <v>0</v>
      </c>
      <c r="L104" s="350">
        <f t="shared" si="8"/>
        <v>603.75</v>
      </c>
      <c r="M104" s="351">
        <f t="shared" si="9"/>
        <v>0</v>
      </c>
      <c r="N104" s="258"/>
      <c r="O104" s="258"/>
    </row>
    <row r="105" spans="1:15" s="297" customFormat="1" ht="14.15" customHeight="1" x14ac:dyDescent="0.3">
      <c r="A105" s="341" t="s">
        <v>185</v>
      </c>
      <c r="B105" s="443" t="s">
        <v>186</v>
      </c>
      <c r="C105" s="29" t="s">
        <v>85</v>
      </c>
      <c r="D105" s="1">
        <v>0</v>
      </c>
      <c r="E105" s="36">
        <v>250</v>
      </c>
      <c r="F105" s="41">
        <v>0.2</v>
      </c>
      <c r="G105" s="348">
        <f t="shared" si="5"/>
        <v>312.5</v>
      </c>
      <c r="H105" s="348">
        <v>525</v>
      </c>
      <c r="I105" s="83">
        <v>0.15</v>
      </c>
      <c r="J105" s="79">
        <f t="shared" si="6"/>
        <v>603.75</v>
      </c>
      <c r="K105" s="349">
        <f t="shared" si="7"/>
        <v>0</v>
      </c>
      <c r="L105" s="350">
        <f t="shared" si="8"/>
        <v>916.25</v>
      </c>
      <c r="M105" s="351">
        <f t="shared" si="9"/>
        <v>0</v>
      </c>
      <c r="N105" s="258"/>
      <c r="O105" s="258"/>
    </row>
    <row r="106" spans="1:15" s="297" customFormat="1" ht="14.15" customHeight="1" x14ac:dyDescent="0.3">
      <c r="A106" s="341" t="s">
        <v>187</v>
      </c>
      <c r="B106" s="443" t="s">
        <v>188</v>
      </c>
      <c r="C106" s="29" t="s">
        <v>85</v>
      </c>
      <c r="D106" s="1">
        <v>6</v>
      </c>
      <c r="E106" s="36">
        <v>500</v>
      </c>
      <c r="F106" s="41">
        <v>0.2</v>
      </c>
      <c r="G106" s="348">
        <f t="shared" si="5"/>
        <v>625</v>
      </c>
      <c r="H106" s="348">
        <v>525</v>
      </c>
      <c r="I106" s="83">
        <v>0.15</v>
      </c>
      <c r="J106" s="79">
        <f t="shared" si="6"/>
        <v>603.75</v>
      </c>
      <c r="K106" s="349">
        <f t="shared" si="7"/>
        <v>3622.5</v>
      </c>
      <c r="L106" s="350">
        <f t="shared" si="8"/>
        <v>1228.75</v>
      </c>
      <c r="M106" s="351">
        <f t="shared" si="9"/>
        <v>7372.5</v>
      </c>
      <c r="N106" s="258"/>
      <c r="O106" s="258"/>
    </row>
    <row r="107" spans="1:15" s="297" customFormat="1" ht="14.5" customHeight="1" thickBot="1" x14ac:dyDescent="0.35">
      <c r="A107" s="381" t="s">
        <v>189</v>
      </c>
      <c r="B107" s="446" t="s">
        <v>190</v>
      </c>
      <c r="C107" s="76" t="s">
        <v>85</v>
      </c>
      <c r="D107" s="50">
        <v>0</v>
      </c>
      <c r="E107" s="51">
        <v>500</v>
      </c>
      <c r="F107" s="52">
        <v>0.2</v>
      </c>
      <c r="G107" s="376">
        <f t="shared" si="5"/>
        <v>625</v>
      </c>
      <c r="H107" s="376">
        <v>525</v>
      </c>
      <c r="I107" s="84">
        <v>0.15</v>
      </c>
      <c r="J107" s="80">
        <f t="shared" si="6"/>
        <v>603.75</v>
      </c>
      <c r="K107" s="382">
        <f t="shared" si="7"/>
        <v>0</v>
      </c>
      <c r="L107" s="350">
        <f t="shared" si="8"/>
        <v>1228.75</v>
      </c>
      <c r="M107" s="378">
        <f t="shared" si="9"/>
        <v>0</v>
      </c>
      <c r="N107" s="258"/>
      <c r="O107" s="258"/>
    </row>
    <row r="108" spans="1:15" s="297" customFormat="1" ht="14.5" customHeight="1" thickBot="1" x14ac:dyDescent="0.35">
      <c r="A108" s="404"/>
      <c r="B108" s="453"/>
      <c r="C108" s="29"/>
      <c r="D108" s="1"/>
      <c r="E108" s="36"/>
      <c r="F108" s="41"/>
      <c r="G108" s="348"/>
      <c r="H108" s="348"/>
      <c r="I108" s="79"/>
      <c r="J108" s="79"/>
      <c r="K108" s="406"/>
      <c r="L108" s="350"/>
      <c r="M108" s="351"/>
      <c r="N108" s="258"/>
      <c r="O108" s="258"/>
    </row>
    <row r="109" spans="1:15" ht="14.15" customHeight="1" x14ac:dyDescent="0.3">
      <c r="A109" s="359">
        <v>2.15</v>
      </c>
      <c r="B109" s="450"/>
      <c r="C109" s="75"/>
      <c r="D109" s="58" t="s">
        <v>191</v>
      </c>
      <c r="E109" s="56"/>
      <c r="F109" s="57"/>
      <c r="G109" s="361"/>
      <c r="H109" s="361"/>
      <c r="I109" s="56"/>
      <c r="J109" s="56"/>
      <c r="K109" s="362"/>
      <c r="L109" s="363"/>
      <c r="M109" s="363"/>
      <c r="N109" s="258"/>
      <c r="O109" s="258"/>
    </row>
    <row r="110" spans="1:15" ht="14.15" customHeight="1" x14ac:dyDescent="0.3">
      <c r="A110" s="341"/>
      <c r="B110" s="444"/>
      <c r="C110" s="29"/>
      <c r="D110" s="1"/>
      <c r="E110" s="36"/>
      <c r="F110" s="41"/>
      <c r="G110" s="348"/>
      <c r="H110" s="348"/>
      <c r="I110" s="79"/>
      <c r="J110" s="79"/>
      <c r="K110" s="349"/>
      <c r="L110" s="350"/>
      <c r="M110" s="351"/>
      <c r="N110" s="258"/>
      <c r="O110" s="258"/>
    </row>
    <row r="111" spans="1:15" ht="28" customHeight="1" x14ac:dyDescent="0.3">
      <c r="A111" s="341"/>
      <c r="B111" s="443" t="s">
        <v>192</v>
      </c>
      <c r="C111" s="29"/>
      <c r="D111" s="1"/>
      <c r="E111" s="36"/>
      <c r="F111" s="41"/>
      <c r="G111" s="348"/>
      <c r="H111" s="348"/>
      <c r="I111" s="79"/>
      <c r="J111" s="79"/>
      <c r="K111" s="349"/>
      <c r="L111" s="350"/>
      <c r="M111" s="351"/>
      <c r="N111" s="258"/>
      <c r="O111" s="258"/>
    </row>
    <row r="112" spans="1:15" ht="14.15" customHeight="1" x14ac:dyDescent="0.3">
      <c r="A112" s="384"/>
      <c r="B112" s="443"/>
      <c r="C112" s="29"/>
      <c r="D112" s="1"/>
      <c r="E112" s="36"/>
      <c r="F112" s="41"/>
      <c r="G112" s="348"/>
      <c r="H112" s="348"/>
      <c r="I112" s="79"/>
      <c r="J112" s="79"/>
      <c r="K112" s="349"/>
      <c r="L112" s="350"/>
      <c r="M112" s="351"/>
      <c r="N112" s="258"/>
      <c r="O112" s="258"/>
    </row>
    <row r="113" spans="1:15" ht="14.15" customHeight="1" x14ac:dyDescent="0.3">
      <c r="A113" s="341" t="s">
        <v>193</v>
      </c>
      <c r="B113" s="443" t="s">
        <v>194</v>
      </c>
      <c r="C113" s="29" t="s">
        <v>108</v>
      </c>
      <c r="D113" s="1">
        <v>0</v>
      </c>
      <c r="E113" s="36">
        <f>132*(15+10+10)</f>
        <v>4620</v>
      </c>
      <c r="F113" s="41">
        <v>0.2</v>
      </c>
      <c r="G113" s="348">
        <f>E113/(1-F113)</f>
        <v>5775</v>
      </c>
      <c r="H113" s="348">
        <f>9*(15+10+10)</f>
        <v>315</v>
      </c>
      <c r="I113" s="83">
        <v>0.15</v>
      </c>
      <c r="J113" s="79">
        <f>H113*(1+I113)</f>
        <v>362.25</v>
      </c>
      <c r="K113" s="349">
        <f>J113*D113</f>
        <v>0</v>
      </c>
      <c r="L113" s="350">
        <f>G113+J113</f>
        <v>6137.25</v>
      </c>
      <c r="M113" s="351">
        <f>D113*L113</f>
        <v>0</v>
      </c>
      <c r="N113" s="258"/>
      <c r="O113" s="258"/>
    </row>
    <row r="114" spans="1:15" ht="14.5" customHeight="1" thickBot="1" x14ac:dyDescent="0.35">
      <c r="A114" s="381" t="s">
        <v>195</v>
      </c>
      <c r="B114" s="446" t="s">
        <v>196</v>
      </c>
      <c r="C114" s="76" t="s">
        <v>108</v>
      </c>
      <c r="D114" s="50">
        <f>145 + N("total cabling")</f>
        <v>145</v>
      </c>
      <c r="E114" s="51">
        <f>30</f>
        <v>30</v>
      </c>
      <c r="F114" s="52">
        <v>0.2</v>
      </c>
      <c r="G114" s="376">
        <f>E114/(1-F114)</f>
        <v>37.5</v>
      </c>
      <c r="H114" s="376">
        <f>15</f>
        <v>15</v>
      </c>
      <c r="I114" s="84">
        <v>0.15</v>
      </c>
      <c r="J114" s="80">
        <f>H114*(1+I114)</f>
        <v>17.25</v>
      </c>
      <c r="K114" s="382">
        <f>J114*D114</f>
        <v>2501.25</v>
      </c>
      <c r="L114" s="407">
        <f>G114+J114</f>
        <v>54.75</v>
      </c>
      <c r="M114" s="378">
        <f>D114*L114</f>
        <v>7938.75</v>
      </c>
      <c r="N114" s="258"/>
      <c r="O114" s="258"/>
    </row>
    <row r="115" spans="1:15" ht="14.5" customHeight="1" thickBot="1" x14ac:dyDescent="0.35">
      <c r="A115" s="258"/>
      <c r="B115" s="453"/>
      <c r="C115" s="29"/>
      <c r="D115" s="1"/>
      <c r="E115" s="36"/>
      <c r="F115" s="41"/>
      <c r="G115" s="348"/>
      <c r="H115" s="348"/>
      <c r="I115" s="79"/>
      <c r="J115" s="79"/>
      <c r="K115" s="406"/>
      <c r="L115" s="350"/>
      <c r="M115" s="351"/>
      <c r="N115" s="258"/>
      <c r="O115" s="258"/>
    </row>
    <row r="116" spans="1:15" ht="14.15" customHeight="1" x14ac:dyDescent="0.3">
      <c r="A116" s="359">
        <v>2.16</v>
      </c>
      <c r="B116" s="450"/>
      <c r="C116" s="75"/>
      <c r="D116" s="58" t="s">
        <v>197</v>
      </c>
      <c r="E116" s="56"/>
      <c r="F116" s="57"/>
      <c r="G116" s="361"/>
      <c r="H116" s="361"/>
      <c r="I116" s="56"/>
      <c r="J116" s="56"/>
      <c r="K116" s="362"/>
      <c r="L116" s="363"/>
      <c r="M116" s="363"/>
      <c r="N116" s="258"/>
      <c r="O116" s="258"/>
    </row>
    <row r="117" spans="1:15" ht="14.15" customHeight="1" x14ac:dyDescent="0.3">
      <c r="A117" s="341"/>
      <c r="B117" s="444"/>
      <c r="C117" s="29"/>
      <c r="D117" s="1"/>
      <c r="E117" s="36"/>
      <c r="F117" s="41"/>
      <c r="G117" s="348"/>
      <c r="H117" s="348"/>
      <c r="I117" s="79"/>
      <c r="J117" s="79"/>
      <c r="K117" s="349"/>
      <c r="L117" s="350"/>
      <c r="M117" s="351"/>
      <c r="N117" s="258"/>
      <c r="O117" s="258"/>
    </row>
    <row r="118" spans="1:15" ht="28.5" customHeight="1" thickBot="1" x14ac:dyDescent="0.35">
      <c r="A118" s="381" t="s">
        <v>198</v>
      </c>
      <c r="B118" s="446" t="s">
        <v>199</v>
      </c>
      <c r="C118" s="86" t="s">
        <v>108</v>
      </c>
      <c r="D118" s="50">
        <v>15</v>
      </c>
      <c r="E118" s="51">
        <v>5</v>
      </c>
      <c r="F118" s="52">
        <v>0.2</v>
      </c>
      <c r="G118" s="376">
        <f>E118/(1-F118)</f>
        <v>6.25</v>
      </c>
      <c r="H118" s="376">
        <f>(100*3)</f>
        <v>300</v>
      </c>
      <c r="I118" s="84">
        <v>0.15</v>
      </c>
      <c r="J118" s="80">
        <f>H118*(1+I118)</f>
        <v>345</v>
      </c>
      <c r="K118" s="382">
        <f>J118*D118</f>
        <v>5175</v>
      </c>
      <c r="L118" s="407">
        <f>G118+J118</f>
        <v>351.25</v>
      </c>
      <c r="M118" s="378">
        <f>D118*L118</f>
        <v>5268.75</v>
      </c>
      <c r="N118" s="258"/>
      <c r="O118" s="258"/>
    </row>
    <row r="119" spans="1:15" ht="13.4" customHeight="1" thickBot="1" x14ac:dyDescent="0.35">
      <c r="A119" s="404"/>
      <c r="B119" s="453"/>
      <c r="C119" s="29"/>
      <c r="D119" s="1"/>
      <c r="E119" s="36"/>
      <c r="F119" s="41"/>
      <c r="G119" s="348"/>
      <c r="H119" s="348"/>
      <c r="I119" s="79"/>
      <c r="J119" s="79"/>
      <c r="K119" s="406"/>
      <c r="L119" s="350"/>
      <c r="M119" s="351"/>
      <c r="N119" s="258"/>
      <c r="O119" s="258"/>
    </row>
    <row r="120" spans="1:15" ht="14.15" customHeight="1" x14ac:dyDescent="0.3">
      <c r="A120" s="359">
        <v>2.17</v>
      </c>
      <c r="B120" s="450"/>
      <c r="C120" s="75"/>
      <c r="D120" s="58" t="s">
        <v>200</v>
      </c>
      <c r="E120" s="56"/>
      <c r="F120" s="57"/>
      <c r="G120" s="361"/>
      <c r="H120" s="361"/>
      <c r="I120" s="56"/>
      <c r="J120" s="56"/>
      <c r="K120" s="362"/>
      <c r="L120" s="363"/>
      <c r="M120" s="363"/>
      <c r="N120" s="258"/>
      <c r="O120" s="258"/>
    </row>
    <row r="121" spans="1:15" ht="14.15" customHeight="1" x14ac:dyDescent="0.3">
      <c r="A121" s="341"/>
      <c r="B121" s="454"/>
      <c r="C121" s="29"/>
      <c r="D121" s="1"/>
      <c r="E121" s="36"/>
      <c r="F121" s="41"/>
      <c r="G121" s="348"/>
      <c r="H121" s="348"/>
      <c r="I121" s="79"/>
      <c r="J121" s="79"/>
      <c r="K121" s="349"/>
      <c r="L121" s="350"/>
      <c r="M121" s="351"/>
      <c r="N121" s="258"/>
      <c r="O121" s="258"/>
    </row>
    <row r="122" spans="1:15" ht="14.15" customHeight="1" x14ac:dyDescent="0.3">
      <c r="A122" s="341"/>
      <c r="B122" s="443" t="s">
        <v>201</v>
      </c>
      <c r="C122" s="29"/>
      <c r="D122" s="1"/>
      <c r="E122" s="36"/>
      <c r="F122" s="41"/>
      <c r="G122" s="348"/>
      <c r="H122" s="348"/>
      <c r="I122" s="79"/>
      <c r="J122" s="79"/>
      <c r="K122" s="349"/>
      <c r="L122" s="350"/>
      <c r="M122" s="351"/>
      <c r="N122" s="258"/>
      <c r="O122" s="258"/>
    </row>
    <row r="123" spans="1:15" ht="14.15" customHeight="1" x14ac:dyDescent="0.3">
      <c r="A123" s="384"/>
      <c r="B123" s="455"/>
      <c r="C123" s="29"/>
      <c r="D123" s="1"/>
      <c r="E123" s="36"/>
      <c r="F123" s="41"/>
      <c r="G123" s="348"/>
      <c r="H123" s="348"/>
      <c r="I123" s="79"/>
      <c r="J123" s="79"/>
      <c r="K123" s="349"/>
      <c r="L123" s="350"/>
      <c r="M123" s="351"/>
      <c r="N123" s="258"/>
      <c r="O123" s="258"/>
    </row>
    <row r="124" spans="1:15" ht="28" customHeight="1" x14ac:dyDescent="0.3">
      <c r="A124" s="341" t="s">
        <v>202</v>
      </c>
      <c r="B124" s="443" t="s">
        <v>203</v>
      </c>
      <c r="C124" s="29" t="s">
        <v>42</v>
      </c>
      <c r="D124" s="1">
        <v>0</v>
      </c>
      <c r="E124" s="36"/>
      <c r="F124" s="41">
        <v>0.2</v>
      </c>
      <c r="G124" s="348">
        <f>E124/(1-F124)</f>
        <v>0</v>
      </c>
      <c r="H124" s="348">
        <f>140*(20+60+200)</f>
        <v>39200</v>
      </c>
      <c r="I124" s="83">
        <v>0.15</v>
      </c>
      <c r="J124" s="79">
        <f>H124*(1+I124)</f>
        <v>45080</v>
      </c>
      <c r="K124" s="349">
        <f>J124*D124</f>
        <v>0</v>
      </c>
      <c r="L124" s="350">
        <f>G124+J124</f>
        <v>45080</v>
      </c>
      <c r="M124" s="351">
        <f>D124*L124</f>
        <v>0</v>
      </c>
      <c r="N124" s="258"/>
      <c r="O124" s="258"/>
    </row>
    <row r="125" spans="1:15" s="297" customFormat="1" ht="28" customHeight="1" x14ac:dyDescent="0.3">
      <c r="A125" s="341" t="s">
        <v>204</v>
      </c>
      <c r="B125" s="443" t="s">
        <v>205</v>
      </c>
      <c r="C125" s="29" t="s">
        <v>42</v>
      </c>
      <c r="D125" s="1">
        <v>0</v>
      </c>
      <c r="E125" s="36"/>
      <c r="F125" s="41">
        <v>0.2</v>
      </c>
      <c r="G125" s="348">
        <f>E125/(1-F125)</f>
        <v>0</v>
      </c>
      <c r="H125" s="348">
        <f>140*(20+60+200)</f>
        <v>39200</v>
      </c>
      <c r="I125" s="83">
        <v>0.15</v>
      </c>
      <c r="J125" s="79">
        <f>H125*(1+I125)</f>
        <v>45080</v>
      </c>
      <c r="K125" s="349">
        <f>J125*D125</f>
        <v>0</v>
      </c>
      <c r="L125" s="350">
        <f>G125+J125</f>
        <v>45080</v>
      </c>
      <c r="M125" s="351">
        <f>D125*L125</f>
        <v>0</v>
      </c>
      <c r="N125" s="258"/>
      <c r="O125" s="258"/>
    </row>
    <row r="126" spans="1:15" s="297" customFormat="1" ht="14.15" customHeight="1" x14ac:dyDescent="0.3">
      <c r="A126" s="341" t="s">
        <v>206</v>
      </c>
      <c r="B126" s="443" t="s">
        <v>207</v>
      </c>
      <c r="C126" s="29" t="s">
        <v>42</v>
      </c>
      <c r="D126" s="1">
        <v>0</v>
      </c>
      <c r="E126" s="36">
        <f>35*(50+50)</f>
        <v>3500</v>
      </c>
      <c r="F126" s="41">
        <v>0.2</v>
      </c>
      <c r="G126" s="348">
        <f>E126/(1-F126)</f>
        <v>4375</v>
      </c>
      <c r="H126" s="348">
        <f>5*(50+50+50)</f>
        <v>750</v>
      </c>
      <c r="I126" s="83">
        <v>0.15</v>
      </c>
      <c r="J126" s="79">
        <f>H126*(1+I126)</f>
        <v>862.49999999999989</v>
      </c>
      <c r="K126" s="349">
        <f>J126*D126</f>
        <v>0</v>
      </c>
      <c r="L126" s="350">
        <f>G126+J126</f>
        <v>5237.5</v>
      </c>
      <c r="M126" s="351">
        <f>D126*L126</f>
        <v>0</v>
      </c>
      <c r="N126" s="258"/>
      <c r="O126" s="258"/>
    </row>
    <row r="127" spans="1:15" s="297" customFormat="1" ht="14.5" customHeight="1" thickBot="1" x14ac:dyDescent="0.35">
      <c r="A127" s="381" t="s">
        <v>208</v>
      </c>
      <c r="B127" s="446" t="s">
        <v>209</v>
      </c>
      <c r="C127" s="76" t="s">
        <v>42</v>
      </c>
      <c r="D127" s="50">
        <v>0</v>
      </c>
      <c r="E127" s="51">
        <f>4500*3</f>
        <v>13500</v>
      </c>
      <c r="F127" s="52">
        <v>0.2</v>
      </c>
      <c r="G127" s="376">
        <f>E127/(1-F127)</f>
        <v>16875</v>
      </c>
      <c r="H127" s="376">
        <v>5</v>
      </c>
      <c r="I127" s="84">
        <v>0.15</v>
      </c>
      <c r="J127" s="80">
        <f>H127*(1+I127)</f>
        <v>5.75</v>
      </c>
      <c r="K127" s="382">
        <f>J127*D127</f>
        <v>0</v>
      </c>
      <c r="L127" s="407">
        <f>G127+J127</f>
        <v>16880.75</v>
      </c>
      <c r="M127" s="378">
        <f>D127*L127</f>
        <v>0</v>
      </c>
      <c r="N127" s="258"/>
      <c r="O127" s="258"/>
    </row>
    <row r="128" spans="1:15" s="297" customFormat="1" ht="14.5" customHeight="1" thickBot="1" x14ac:dyDescent="0.35">
      <c r="A128" s="404"/>
      <c r="B128" s="456"/>
      <c r="C128" s="28"/>
      <c r="D128" s="1"/>
      <c r="E128" s="36"/>
      <c r="F128" s="41"/>
      <c r="G128" s="348"/>
      <c r="H128" s="348"/>
      <c r="I128" s="79"/>
      <c r="J128" s="79"/>
      <c r="K128" s="406"/>
      <c r="L128" s="350"/>
      <c r="M128" s="351"/>
      <c r="N128" s="258"/>
      <c r="O128" s="258"/>
    </row>
    <row r="129" spans="1:15" s="297" customFormat="1" ht="14.15" customHeight="1" x14ac:dyDescent="0.3">
      <c r="A129" s="359">
        <v>2.1800000000000002</v>
      </c>
      <c r="B129" s="450"/>
      <c r="C129" s="75"/>
      <c r="D129" s="55" t="s">
        <v>210</v>
      </c>
      <c r="E129" s="56"/>
      <c r="F129" s="57"/>
      <c r="G129" s="361"/>
      <c r="H129" s="361"/>
      <c r="I129" s="56"/>
      <c r="J129" s="56"/>
      <c r="K129" s="362"/>
      <c r="L129" s="363"/>
      <c r="M129" s="363"/>
      <c r="N129" s="258"/>
      <c r="O129" s="258"/>
    </row>
    <row r="130" spans="1:15" s="297" customFormat="1" ht="14.15" customHeight="1" x14ac:dyDescent="0.3">
      <c r="A130" s="341"/>
      <c r="B130" s="454"/>
      <c r="C130" s="29"/>
      <c r="D130" s="1"/>
      <c r="E130" s="36"/>
      <c r="F130" s="41"/>
      <c r="G130" s="348"/>
      <c r="H130" s="348"/>
      <c r="I130" s="79"/>
      <c r="J130" s="79"/>
      <c r="K130" s="349"/>
      <c r="L130" s="350"/>
      <c r="M130" s="351"/>
      <c r="N130" s="258"/>
      <c r="O130" s="258"/>
    </row>
    <row r="131" spans="1:15" s="297" customFormat="1" ht="14.15" customHeight="1" x14ac:dyDescent="0.3">
      <c r="A131" s="341" t="s">
        <v>211</v>
      </c>
      <c r="B131" s="443" t="s">
        <v>243</v>
      </c>
      <c r="C131" s="29" t="s">
        <v>42</v>
      </c>
      <c r="D131" s="1">
        <v>0</v>
      </c>
      <c r="E131" s="36">
        <v>0</v>
      </c>
      <c r="F131" s="41">
        <v>0.2</v>
      </c>
      <c r="G131" s="348">
        <f>E131/(1-F131)</f>
        <v>0</v>
      </c>
      <c r="H131" s="348">
        <f>2500*3</f>
        <v>7500</v>
      </c>
      <c r="I131" s="79"/>
      <c r="J131" s="79"/>
      <c r="K131" s="349">
        <f>H131*D131</f>
        <v>0</v>
      </c>
      <c r="L131" s="350">
        <f>G131+J131</f>
        <v>0</v>
      </c>
      <c r="M131" s="351">
        <f>D131*L131</f>
        <v>0</v>
      </c>
      <c r="N131" s="258"/>
      <c r="O131" s="258"/>
    </row>
    <row r="132" spans="1:15" s="297" customFormat="1" ht="14.5" customHeight="1" thickBot="1" x14ac:dyDescent="0.35">
      <c r="A132" s="381"/>
      <c r="B132" s="411"/>
      <c r="C132" s="77"/>
      <c r="D132" s="50"/>
      <c r="E132" s="51"/>
      <c r="F132" s="52"/>
      <c r="G132" s="376"/>
      <c r="H132" s="376"/>
      <c r="I132" s="80"/>
      <c r="J132" s="80"/>
      <c r="K132" s="382">
        <f>H132*D132</f>
        <v>0</v>
      </c>
      <c r="L132" s="412"/>
      <c r="M132" s="378"/>
      <c r="N132" s="258"/>
      <c r="O132" s="258"/>
    </row>
    <row r="133" spans="1:15" s="297" customFormat="1" ht="14.15" customHeight="1" x14ac:dyDescent="0.3">
      <c r="A133" s="369"/>
      <c r="B133" s="413"/>
      <c r="C133" s="28"/>
      <c r="D133" s="1"/>
      <c r="E133" s="36"/>
      <c r="F133" s="41"/>
      <c r="G133" s="348"/>
      <c r="H133" s="348"/>
      <c r="I133" s="36"/>
      <c r="J133" s="36"/>
      <c r="K133" s="414"/>
      <c r="L133" s="350"/>
      <c r="M133" s="351"/>
      <c r="N133" s="258"/>
      <c r="O133" s="258"/>
    </row>
    <row r="134" spans="1:15" s="297" customFormat="1" ht="14.15" customHeight="1" x14ac:dyDescent="0.3">
      <c r="A134" s="404">
        <v>2.19</v>
      </c>
      <c r="B134" s="455" t="s">
        <v>213</v>
      </c>
      <c r="C134" s="29"/>
      <c r="D134" s="1"/>
      <c r="E134" s="36"/>
      <c r="F134" s="41"/>
      <c r="G134" s="348"/>
      <c r="H134" s="348"/>
      <c r="I134" s="36"/>
      <c r="J134" s="36"/>
      <c r="K134" s="415">
        <f>H134*D134</f>
        <v>0</v>
      </c>
      <c r="L134" s="350"/>
      <c r="M134" s="351"/>
      <c r="N134" s="258"/>
      <c r="O134" s="258"/>
    </row>
    <row r="135" spans="1:15" s="297" customFormat="1" ht="14.15" customHeight="1" x14ac:dyDescent="0.3">
      <c r="A135" s="404" t="s">
        <v>214</v>
      </c>
      <c r="B135" s="443" t="s">
        <v>215</v>
      </c>
      <c r="C135" s="29" t="s">
        <v>42</v>
      </c>
      <c r="D135" s="1">
        <v>1</v>
      </c>
      <c r="E135" s="36">
        <v>25000</v>
      </c>
      <c r="F135" s="41">
        <v>0</v>
      </c>
      <c r="G135" s="348">
        <f>E135/(1-F135)</f>
        <v>25000</v>
      </c>
      <c r="H135" s="348">
        <v>0</v>
      </c>
      <c r="I135" s="36"/>
      <c r="J135" s="36"/>
      <c r="K135" s="415">
        <f>H135*D135</f>
        <v>0</v>
      </c>
      <c r="L135" s="350">
        <f>G135+H135</f>
        <v>25000</v>
      </c>
      <c r="M135" s="351">
        <f>D135*L135</f>
        <v>25000</v>
      </c>
      <c r="N135" s="258"/>
      <c r="O135" s="258"/>
    </row>
    <row r="136" spans="1:15" s="297" customFormat="1" ht="14.15" customHeight="1" x14ac:dyDescent="0.3">
      <c r="A136" s="404"/>
      <c r="B136" s="455"/>
      <c r="C136" s="29"/>
      <c r="D136" s="1"/>
      <c r="E136" s="36"/>
      <c r="F136" s="41"/>
      <c r="G136" s="348"/>
      <c r="H136" s="348"/>
      <c r="I136" s="36"/>
      <c r="J136" s="36"/>
      <c r="K136" s="415"/>
      <c r="L136" s="350"/>
      <c r="M136" s="351"/>
      <c r="N136" s="258"/>
      <c r="O136" s="258"/>
    </row>
    <row r="137" spans="1:15" s="297" customFormat="1" ht="14.15" customHeight="1" x14ac:dyDescent="0.3">
      <c r="A137" s="416">
        <v>2.2000000000000002</v>
      </c>
      <c r="B137" s="455" t="s">
        <v>216</v>
      </c>
      <c r="C137" s="29"/>
      <c r="D137" s="1"/>
      <c r="E137" s="36"/>
      <c r="F137" s="41"/>
      <c r="G137" s="348"/>
      <c r="H137" s="348"/>
      <c r="I137" s="36"/>
      <c r="J137" s="36"/>
      <c r="K137" s="415">
        <f>H137*D137</f>
        <v>0</v>
      </c>
      <c r="L137" s="350"/>
      <c r="M137" s="351"/>
      <c r="N137" s="258"/>
      <c r="O137" s="258"/>
    </row>
    <row r="138" spans="1:15" s="297" customFormat="1" ht="14.15" customHeight="1" x14ac:dyDescent="0.3">
      <c r="A138" s="404" t="s">
        <v>217</v>
      </c>
      <c r="B138" s="443" t="s">
        <v>218</v>
      </c>
      <c r="C138" s="29" t="s">
        <v>42</v>
      </c>
      <c r="D138" s="1">
        <v>1</v>
      </c>
      <c r="E138" s="36">
        <f>15000</f>
        <v>15000</v>
      </c>
      <c r="F138" s="41">
        <v>0</v>
      </c>
      <c r="G138" s="348">
        <f>E138/(1-F138)</f>
        <v>15000</v>
      </c>
      <c r="H138" s="348">
        <v>0</v>
      </c>
      <c r="I138" s="36"/>
      <c r="J138" s="36"/>
      <c r="K138" s="415">
        <f>H138*D138</f>
        <v>0</v>
      </c>
      <c r="L138" s="350">
        <f>G138+H138</f>
        <v>15000</v>
      </c>
      <c r="M138" s="351">
        <f>D138*L138</f>
        <v>15000</v>
      </c>
      <c r="N138" s="258"/>
      <c r="O138" s="258"/>
    </row>
    <row r="139" spans="1:15" s="297" customFormat="1" ht="14.15" customHeight="1" x14ac:dyDescent="0.3">
      <c r="A139" s="404"/>
      <c r="B139" s="455"/>
      <c r="C139" s="29"/>
      <c r="D139" s="1"/>
      <c r="E139" s="36"/>
      <c r="F139" s="41"/>
      <c r="G139" s="348"/>
      <c r="H139" s="348"/>
      <c r="I139" s="36"/>
      <c r="J139" s="36"/>
      <c r="K139" s="415"/>
      <c r="L139" s="350"/>
      <c r="M139" s="351"/>
      <c r="N139" s="258"/>
      <c r="O139" s="258"/>
    </row>
    <row r="140" spans="1:15" s="297" customFormat="1" ht="14.15" customHeight="1" x14ac:dyDescent="0.3">
      <c r="A140" s="404">
        <v>2.21</v>
      </c>
      <c r="B140" s="455" t="s">
        <v>219</v>
      </c>
      <c r="C140" s="29"/>
      <c r="D140" s="1"/>
      <c r="E140" s="36"/>
      <c r="F140" s="41"/>
      <c r="G140" s="348"/>
      <c r="H140" s="348"/>
      <c r="I140" s="36"/>
      <c r="J140" s="36"/>
      <c r="K140" s="415">
        <f>H140*D140</f>
        <v>0</v>
      </c>
      <c r="L140" s="350"/>
      <c r="M140" s="351"/>
      <c r="N140" s="258"/>
      <c r="O140" s="258"/>
    </row>
    <row r="141" spans="1:15" ht="14.15" customHeight="1" x14ac:dyDescent="0.3">
      <c r="A141" s="404" t="s">
        <v>220</v>
      </c>
      <c r="B141" s="443" t="s">
        <v>221</v>
      </c>
      <c r="C141" s="29" t="s">
        <v>42</v>
      </c>
      <c r="D141" s="1">
        <v>1</v>
      </c>
      <c r="E141" s="36">
        <f>5000</f>
        <v>5000</v>
      </c>
      <c r="F141" s="41">
        <v>0</v>
      </c>
      <c r="G141" s="348">
        <f>E141/(1-F141)</f>
        <v>5000</v>
      </c>
      <c r="H141" s="348">
        <v>0</v>
      </c>
      <c r="I141" s="36"/>
      <c r="J141" s="36"/>
      <c r="K141" s="415">
        <f>H141*D141</f>
        <v>0</v>
      </c>
      <c r="L141" s="350">
        <f>G141+H141</f>
        <v>5000</v>
      </c>
      <c r="M141" s="351">
        <f>D141*L141</f>
        <v>5000</v>
      </c>
      <c r="N141" s="258"/>
      <c r="O141" s="258"/>
    </row>
    <row r="142" spans="1:15" ht="14.15" customHeight="1" x14ac:dyDescent="0.3">
      <c r="A142" s="404" t="s">
        <v>222</v>
      </c>
      <c r="B142" s="443" t="s">
        <v>223</v>
      </c>
      <c r="C142" s="29" t="s">
        <v>42</v>
      </c>
      <c r="D142" s="1">
        <v>1</v>
      </c>
      <c r="E142" s="36">
        <f>50000</f>
        <v>50000</v>
      </c>
      <c r="F142" s="41">
        <v>0</v>
      </c>
      <c r="G142" s="348">
        <f>E142/(1-F142)</f>
        <v>50000</v>
      </c>
      <c r="H142" s="348">
        <v>0</v>
      </c>
      <c r="I142" s="36"/>
      <c r="J142" s="36"/>
      <c r="K142" s="415">
        <f>H142*D142</f>
        <v>0</v>
      </c>
      <c r="L142" s="350">
        <f>G142+H142</f>
        <v>50000</v>
      </c>
      <c r="M142" s="351">
        <f>D142*L142</f>
        <v>50000</v>
      </c>
      <c r="N142" s="258"/>
      <c r="O142" s="258"/>
    </row>
    <row r="143" spans="1:15" ht="14.15" customHeight="1" x14ac:dyDescent="0.3">
      <c r="A143" s="404"/>
      <c r="B143" s="413"/>
      <c r="C143" s="28"/>
      <c r="D143" s="1"/>
      <c r="E143" s="36"/>
      <c r="F143" s="41"/>
      <c r="G143" s="348"/>
      <c r="H143" s="348"/>
      <c r="I143" s="36"/>
      <c r="J143" s="36"/>
      <c r="K143" s="415"/>
      <c r="L143" s="350"/>
      <c r="M143" s="351"/>
      <c r="N143" s="258"/>
      <c r="O143" s="258"/>
    </row>
    <row r="144" spans="1:15" ht="14.15" customHeight="1" x14ac:dyDescent="0.3">
      <c r="A144" s="404">
        <v>2.2200000000000002</v>
      </c>
      <c r="B144" s="455" t="s">
        <v>224</v>
      </c>
      <c r="C144" s="28"/>
      <c r="D144" s="1"/>
      <c r="E144" s="36"/>
      <c r="F144" s="41"/>
      <c r="G144" s="348"/>
      <c r="H144" s="348"/>
      <c r="I144" s="36"/>
      <c r="J144" s="36"/>
      <c r="K144" s="415">
        <f>H144*D144</f>
        <v>0</v>
      </c>
      <c r="L144" s="350"/>
      <c r="M144" s="351"/>
      <c r="N144" s="258"/>
      <c r="O144" s="258"/>
    </row>
    <row r="145" spans="1:15" ht="14.15" customHeight="1" x14ac:dyDescent="0.3">
      <c r="A145" s="404"/>
      <c r="B145" s="413"/>
      <c r="C145" s="28"/>
      <c r="D145" s="1"/>
      <c r="E145" s="36"/>
      <c r="F145" s="41"/>
      <c r="G145" s="348"/>
      <c r="H145" s="348"/>
      <c r="I145" s="36"/>
      <c r="J145" s="36"/>
      <c r="K145" s="415">
        <f>H145*D145</f>
        <v>0</v>
      </c>
      <c r="L145" s="350"/>
      <c r="M145" s="351"/>
      <c r="N145" s="258"/>
      <c r="O145" s="258"/>
    </row>
    <row r="146" spans="1:15" ht="28" customHeight="1" x14ac:dyDescent="0.3">
      <c r="A146" s="404" t="s">
        <v>225</v>
      </c>
      <c r="B146" s="443" t="s">
        <v>226</v>
      </c>
      <c r="C146" s="28" t="s">
        <v>42</v>
      </c>
      <c r="D146" s="1">
        <v>1</v>
      </c>
      <c r="E146" s="36">
        <f>5000*3</f>
        <v>15000</v>
      </c>
      <c r="F146" s="41">
        <v>0.2</v>
      </c>
      <c r="G146" s="348">
        <f>E146/(1-F146)</f>
        <v>18750</v>
      </c>
      <c r="H146" s="348">
        <v>1</v>
      </c>
      <c r="I146" s="36"/>
      <c r="J146" s="36"/>
      <c r="K146" s="415">
        <f>H146*D146</f>
        <v>1</v>
      </c>
      <c r="L146" s="350">
        <f>G146+H146</f>
        <v>18751</v>
      </c>
      <c r="M146" s="351">
        <f>D146*L146</f>
        <v>18751</v>
      </c>
      <c r="N146" s="258"/>
      <c r="O146" s="258"/>
    </row>
    <row r="147" spans="1:15" ht="14.15" customHeight="1" x14ac:dyDescent="0.3">
      <c r="A147" s="404"/>
      <c r="B147" s="413"/>
      <c r="C147" s="28"/>
      <c r="D147" s="1"/>
      <c r="E147" s="36"/>
      <c r="F147" s="41"/>
      <c r="G147" s="348"/>
      <c r="H147" s="348"/>
      <c r="I147" s="36"/>
      <c r="J147" s="36"/>
      <c r="K147" s="417"/>
      <c r="L147" s="350"/>
      <c r="M147" s="418"/>
      <c r="N147" s="258"/>
      <c r="O147" s="258"/>
    </row>
    <row r="148" spans="1:15" ht="14.5" customHeight="1" thickBot="1" x14ac:dyDescent="0.35">
      <c r="A148" s="440"/>
      <c r="B148" s="413"/>
      <c r="C148" s="28"/>
      <c r="D148" s="1"/>
      <c r="E148" s="36"/>
      <c r="F148" s="41"/>
      <c r="G148" s="348"/>
      <c r="H148" s="348"/>
      <c r="I148" s="36"/>
      <c r="J148" s="36"/>
      <c r="K148" s="417"/>
      <c r="L148" s="350"/>
      <c r="M148" s="418"/>
      <c r="N148" s="258"/>
      <c r="O148" s="258"/>
    </row>
    <row r="149" spans="1:15" ht="18.75" customHeight="1" thickTop="1" x14ac:dyDescent="0.3">
      <c r="A149" s="419"/>
      <c r="B149" s="457" t="s">
        <v>227</v>
      </c>
      <c r="C149" s="2"/>
      <c r="D149" s="2"/>
      <c r="E149" s="39"/>
      <c r="F149" s="42"/>
      <c r="G149" s="421"/>
      <c r="H149" s="421"/>
      <c r="I149" s="39"/>
      <c r="J149" s="39"/>
      <c r="K149" s="422">
        <f>SUM(K11:K146)</f>
        <v>180079.5</v>
      </c>
      <c r="L149" s="458"/>
      <c r="M149" s="424">
        <f>SUM(M11:M148)</f>
        <v>1347193.5986309524</v>
      </c>
      <c r="N149" s="258"/>
      <c r="O149" s="258"/>
    </row>
    <row r="150" spans="1:15" ht="16.5" customHeight="1" x14ac:dyDescent="0.3">
      <c r="A150" s="426"/>
      <c r="B150" s="427"/>
      <c r="C150" s="257"/>
      <c r="D150" s="47"/>
      <c r="E150" s="250"/>
      <c r="F150" s="48"/>
      <c r="G150" s="428"/>
      <c r="H150" s="428"/>
      <c r="I150" s="250"/>
      <c r="J150" s="250"/>
      <c r="K150" s="429"/>
      <c r="L150" s="430"/>
      <c r="M150" s="431"/>
      <c r="N150" s="258"/>
      <c r="O150" s="258"/>
    </row>
    <row r="151" spans="1:15" ht="18.75" customHeight="1" x14ac:dyDescent="0.3">
      <c r="A151" s="258"/>
      <c r="B151" s="387"/>
      <c r="C151" s="34"/>
      <c r="D151" s="249"/>
      <c r="E151" s="249"/>
      <c r="F151" s="249"/>
      <c r="G151" s="432"/>
      <c r="H151" s="432"/>
      <c r="I151" s="249"/>
      <c r="J151" s="249"/>
      <c r="K151" s="432"/>
      <c r="L151" s="433"/>
      <c r="M151" s="434"/>
      <c r="N151" s="258"/>
      <c r="O151" s="258"/>
    </row>
    <row r="152" spans="1:15" ht="18.75" customHeight="1" x14ac:dyDescent="0.25"/>
    <row r="153" spans="1:15" ht="18.75" customHeight="1" x14ac:dyDescent="0.25"/>
    <row r="154" spans="1:15" ht="18.75" customHeight="1" x14ac:dyDescent="0.25"/>
    <row r="155" spans="1:15" ht="18.75" customHeight="1" x14ac:dyDescent="0.25"/>
    <row r="156" spans="1:15" ht="18.75" customHeight="1" x14ac:dyDescent="0.25"/>
    <row r="157" spans="1:15" ht="18.75" customHeight="1" x14ac:dyDescent="0.25"/>
    <row r="158" spans="1:15" ht="18.75" customHeight="1" x14ac:dyDescent="0.25"/>
    <row r="159" spans="1:15" ht="18.75" customHeight="1" x14ac:dyDescent="0.25"/>
    <row r="160" spans="1:15" ht="18.75" customHeight="1" x14ac:dyDescent="0.25"/>
    <row r="161" ht="18.75" customHeight="1" x14ac:dyDescent="0.25"/>
    <row r="162" ht="18.75" customHeight="1" x14ac:dyDescent="0.25"/>
    <row r="163" ht="18.75" customHeight="1" x14ac:dyDescent="0.25"/>
    <row r="164" ht="18.75" customHeight="1" x14ac:dyDescent="0.25"/>
    <row r="165" ht="18.75" customHeight="1" x14ac:dyDescent="0.25"/>
    <row r="166" ht="18.75" customHeight="1" x14ac:dyDescent="0.25"/>
    <row r="167" ht="18.75" customHeight="1" x14ac:dyDescent="0.25"/>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167"/>
  <sheetViews>
    <sheetView view="pageBreakPreview" zoomScale="55" zoomScaleNormal="100" zoomScaleSheetLayoutView="55" workbookViewId="0">
      <pane ySplit="5" topLeftCell="A144" activePane="bottomLeft" state="frozen"/>
      <selection pane="bottomLeft" activeCell="F145" sqref="F145"/>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1" width="13.81640625" style="8" customWidth="1"/>
    <col min="12" max="12" width="12.453125" style="295"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33" t="s">
        <v>36</v>
      </c>
      <c r="E5" s="82" t="s">
        <v>72</v>
      </c>
      <c r="F5" s="82" t="s">
        <v>73</v>
      </c>
      <c r="G5" s="313" t="s">
        <v>74</v>
      </c>
      <c r="H5" s="314" t="s">
        <v>75</v>
      </c>
      <c r="I5" s="82" t="s">
        <v>73</v>
      </c>
      <c r="J5" s="315" t="s">
        <v>76</v>
      </c>
      <c r="K5" s="316"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516" t="s">
        <v>407</v>
      </c>
      <c r="C11" s="49" t="s">
        <v>85</v>
      </c>
      <c r="D11" s="50">
        <v>1</v>
      </c>
      <c r="E11" s="36">
        <f>1623.93</f>
        <v>1623.93</v>
      </c>
      <c r="F11" s="41">
        <v>0.25</v>
      </c>
      <c r="G11" s="348">
        <f>E11/(1-F11)</f>
        <v>2165.2400000000002</v>
      </c>
      <c r="H11" s="348">
        <v>350</v>
      </c>
      <c r="I11" s="83">
        <v>0.15</v>
      </c>
      <c r="J11" s="79">
        <f>H11*(1+I11)</f>
        <v>402.49999999999994</v>
      </c>
      <c r="K11" s="349">
        <f>J11*D11</f>
        <v>402.49999999999994</v>
      </c>
      <c r="L11" s="350">
        <f>G11+J11</f>
        <v>2567.7400000000002</v>
      </c>
      <c r="M11" s="351">
        <f>D11*L11</f>
        <v>2567.7400000000002</v>
      </c>
      <c r="N11" s="258"/>
      <c r="O11" s="258"/>
    </row>
    <row r="12" spans="1:15" ht="14.5" customHeight="1" thickBot="1" x14ac:dyDescent="0.35">
      <c r="A12" s="354"/>
      <c r="B12" s="441"/>
      <c r="C12" s="71"/>
      <c r="D12" s="72"/>
      <c r="E12" s="73"/>
      <c r="F12" s="74"/>
      <c r="G12" s="356"/>
      <c r="H12" s="356"/>
      <c r="I12" s="73"/>
      <c r="J12" s="73"/>
      <c r="K12" s="357"/>
      <c r="L12" s="358"/>
      <c r="M12" s="358"/>
      <c r="N12" s="258"/>
      <c r="O12" s="258"/>
    </row>
    <row r="13" spans="1:15" ht="14.15" customHeight="1" x14ac:dyDescent="0.3">
      <c r="A13" s="359" t="s">
        <v>86</v>
      </c>
      <c r="B13" s="360"/>
      <c r="C13" s="255"/>
      <c r="D13" s="58" t="s">
        <v>87</v>
      </c>
      <c r="E13" s="56"/>
      <c r="F13" s="57"/>
      <c r="G13" s="361"/>
      <c r="H13" s="361"/>
      <c r="I13" s="56"/>
      <c r="J13" s="56"/>
      <c r="K13" s="362"/>
      <c r="L13" s="363"/>
      <c r="M13" s="363"/>
      <c r="N13" s="258"/>
      <c r="O13" s="258"/>
    </row>
    <row r="14" spans="1:15" ht="14.5" customHeight="1" thickBot="1" x14ac:dyDescent="0.35">
      <c r="A14" s="341" t="s">
        <v>88</v>
      </c>
      <c r="B14" s="442" t="s">
        <v>408</v>
      </c>
      <c r="C14" s="30" t="s">
        <v>85</v>
      </c>
      <c r="D14" s="1">
        <v>2</v>
      </c>
      <c r="E14" s="36">
        <v>37623.760000000002</v>
      </c>
      <c r="F14" s="41">
        <v>0.2</v>
      </c>
      <c r="G14" s="348">
        <f>E14/(1-F14)</f>
        <v>47029.7</v>
      </c>
      <c r="H14" s="348">
        <f>(550*8)+3600</f>
        <v>8000</v>
      </c>
      <c r="I14" s="83">
        <v>0.15</v>
      </c>
      <c r="J14" s="79">
        <f>H14*(1+I14)</f>
        <v>9200</v>
      </c>
      <c r="K14" s="349">
        <f>J14*D14</f>
        <v>18400</v>
      </c>
      <c r="L14" s="350">
        <f>G14+J14</f>
        <v>56229.7</v>
      </c>
      <c r="M14" s="351">
        <f>D14*L14</f>
        <v>112459.4</v>
      </c>
      <c r="N14" s="258"/>
      <c r="O14" s="258"/>
    </row>
    <row r="15" spans="1:15" ht="14.5" customHeight="1" thickBot="1" x14ac:dyDescent="0.35">
      <c r="A15" s="354"/>
      <c r="B15" s="441"/>
      <c r="C15" s="71"/>
      <c r="D15" s="72"/>
      <c r="E15" s="73"/>
      <c r="F15" s="74"/>
      <c r="G15" s="356"/>
      <c r="H15" s="356"/>
      <c r="I15" s="73"/>
      <c r="J15" s="73"/>
      <c r="K15" s="357"/>
      <c r="L15" s="358"/>
      <c r="M15" s="358"/>
      <c r="N15" s="258"/>
      <c r="O15" s="258"/>
    </row>
    <row r="16" spans="1:15" ht="14.15" customHeight="1" x14ac:dyDescent="0.3">
      <c r="A16" s="359">
        <v>2.2999999999999998</v>
      </c>
      <c r="B16" s="367"/>
      <c r="C16" s="255"/>
      <c r="D16" s="58" t="s">
        <v>91</v>
      </c>
      <c r="E16" s="56"/>
      <c r="F16" s="57"/>
      <c r="G16" s="361"/>
      <c r="H16" s="361"/>
      <c r="I16" s="56"/>
      <c r="J16" s="56"/>
      <c r="K16" s="362"/>
      <c r="L16" s="363"/>
      <c r="M16" s="363"/>
      <c r="N16" s="258"/>
      <c r="O16" s="258"/>
    </row>
    <row r="17" spans="1:15" ht="14.15" customHeight="1" x14ac:dyDescent="0.3">
      <c r="A17" s="341" t="s">
        <v>92</v>
      </c>
      <c r="B17" s="443" t="s">
        <v>409</v>
      </c>
      <c r="C17" s="30" t="s">
        <v>85</v>
      </c>
      <c r="D17" s="1">
        <v>6</v>
      </c>
      <c r="E17" s="36">
        <v>1021.3</v>
      </c>
      <c r="F17" s="41">
        <v>0.2</v>
      </c>
      <c r="G17" s="348">
        <f>E17/(1-F17)</f>
        <v>1276.6249999999998</v>
      </c>
      <c r="H17" s="348">
        <f>(550*4)+3500</f>
        <v>5700</v>
      </c>
      <c r="I17" s="83">
        <v>0.15</v>
      </c>
      <c r="J17" s="79">
        <f>H17*(1+I17)</f>
        <v>6554.9999999999991</v>
      </c>
      <c r="K17" s="349">
        <f>J17*D17</f>
        <v>39329.999999999993</v>
      </c>
      <c r="L17" s="350">
        <f>G17+J17</f>
        <v>7831.6249999999991</v>
      </c>
      <c r="M17" s="351">
        <f>D17*L17</f>
        <v>46989.749999999993</v>
      </c>
      <c r="N17" s="258"/>
      <c r="O17" s="258"/>
    </row>
    <row r="18" spans="1:15" ht="14.5" customHeight="1" thickBot="1" x14ac:dyDescent="0.35">
      <c r="A18" s="341" t="s">
        <v>94</v>
      </c>
      <c r="B18" s="444" t="s">
        <v>410</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436"/>
      <c r="O18" s="369"/>
    </row>
    <row r="19" spans="1:15" ht="14.15" customHeight="1" x14ac:dyDescent="0.3">
      <c r="A19" s="359">
        <v>2.4</v>
      </c>
      <c r="B19" s="360"/>
      <c r="C19" s="255"/>
      <c r="D19" s="58" t="s">
        <v>96</v>
      </c>
      <c r="E19" s="56"/>
      <c r="F19" s="57"/>
      <c r="G19" s="361"/>
      <c r="H19" s="361"/>
      <c r="I19" s="56"/>
      <c r="J19" s="56"/>
      <c r="K19" s="362"/>
      <c r="L19" s="363"/>
      <c r="M19" s="363"/>
      <c r="N19" s="258"/>
      <c r="O19" s="258"/>
    </row>
    <row r="20" spans="1:15" ht="28" customHeight="1" x14ac:dyDescent="0.3">
      <c r="A20" s="370" t="s">
        <v>97</v>
      </c>
      <c r="B20" s="445" t="s">
        <v>411</v>
      </c>
      <c r="C20" s="3" t="s">
        <v>85</v>
      </c>
      <c r="D20" s="7">
        <v>1</v>
      </c>
      <c r="E20" s="37">
        <v>348297.95</v>
      </c>
      <c r="F20" s="41">
        <v>0.2</v>
      </c>
      <c r="G20" s="348">
        <f>E20/(1-F20)</f>
        <v>435372.4375</v>
      </c>
      <c r="H20" s="371">
        <f>(550*8)+3600</f>
        <v>8000</v>
      </c>
      <c r="I20" s="83">
        <v>0.15</v>
      </c>
      <c r="J20" s="79">
        <f>H20*(1+I20)</f>
        <v>9200</v>
      </c>
      <c r="K20" s="349">
        <f>J20*D20</f>
        <v>9200</v>
      </c>
      <c r="L20" s="350">
        <f>G20+J20</f>
        <v>444572.4375</v>
      </c>
      <c r="M20" s="351">
        <f>D20*L20</f>
        <v>444572.4375</v>
      </c>
      <c r="N20" s="258"/>
      <c r="O20" s="258"/>
    </row>
    <row r="21" spans="1:15" ht="14.15" customHeight="1" x14ac:dyDescent="0.3">
      <c r="A21" s="370"/>
      <c r="B21" s="443"/>
      <c r="C21" s="3"/>
      <c r="D21" s="7"/>
      <c r="E21" s="37"/>
      <c r="F21" s="41"/>
      <c r="G21" s="348"/>
      <c r="H21" s="371"/>
      <c r="I21" s="66"/>
      <c r="J21" s="66"/>
      <c r="K21" s="349"/>
      <c r="L21" s="350"/>
      <c r="M21" s="351"/>
      <c r="N21" s="258"/>
      <c r="O21" s="258"/>
    </row>
    <row r="22" spans="1:15" ht="14.15" customHeight="1" x14ac:dyDescent="0.3">
      <c r="A22" s="370" t="s">
        <v>99</v>
      </c>
      <c r="B22" s="443"/>
      <c r="C22" s="3"/>
      <c r="D22" s="7"/>
      <c r="E22" s="37"/>
      <c r="F22" s="41"/>
      <c r="G22" s="348"/>
      <c r="H22" s="371"/>
      <c r="I22" s="66"/>
      <c r="J22" s="66"/>
      <c r="K22" s="349"/>
      <c r="L22" s="350"/>
      <c r="M22" s="351"/>
      <c r="N22" s="258"/>
      <c r="O22" s="258"/>
    </row>
    <row r="23" spans="1:15" ht="28.5" customHeight="1" thickBot="1" x14ac:dyDescent="0.35">
      <c r="A23" s="374"/>
      <c r="B23" s="446" t="s">
        <v>100</v>
      </c>
      <c r="C23" s="67" t="s">
        <v>85</v>
      </c>
      <c r="D23" s="68">
        <f>8 + N("LV batteries have 4 cables per battery")</f>
        <v>8</v>
      </c>
      <c r="E23" s="69">
        <f>1888.71*1.15</f>
        <v>2172.0164999999997</v>
      </c>
      <c r="F23" s="52">
        <v>0.2</v>
      </c>
      <c r="G23" s="376">
        <f>E23/(1-F23)</f>
        <v>2715.0206249999997</v>
      </c>
      <c r="H23" s="377">
        <f>250*1</f>
        <v>250</v>
      </c>
      <c r="I23" s="83">
        <v>0.15</v>
      </c>
      <c r="J23" s="79">
        <f>H23*(1+I23)</f>
        <v>287.5</v>
      </c>
      <c r="K23" s="349">
        <f>J23*D23</f>
        <v>2300</v>
      </c>
      <c r="L23" s="350">
        <f>G23+J23</f>
        <v>3002.5206249999997</v>
      </c>
      <c r="M23" s="378">
        <f>D23*L23</f>
        <v>24020.164999999997</v>
      </c>
      <c r="N23" s="258"/>
      <c r="O23" s="258"/>
    </row>
    <row r="24" spans="1:15" ht="14.5" customHeight="1" thickBot="1" x14ac:dyDescent="0.35">
      <c r="A24" s="354"/>
      <c r="B24" s="441"/>
      <c r="C24" s="71"/>
      <c r="D24" s="72"/>
      <c r="E24" s="73"/>
      <c r="F24" s="74"/>
      <c r="G24" s="356"/>
      <c r="H24" s="356"/>
      <c r="I24" s="73"/>
      <c r="J24" s="73"/>
      <c r="K24" s="357"/>
      <c r="L24" s="358"/>
      <c r="M24" s="358"/>
      <c r="N24" s="258"/>
      <c r="O24" s="258"/>
    </row>
    <row r="25" spans="1:15" ht="14.15" customHeight="1" x14ac:dyDescent="0.3">
      <c r="A25" s="379">
        <v>2.5</v>
      </c>
      <c r="B25" s="360"/>
      <c r="C25" s="255"/>
      <c r="D25" s="58" t="s">
        <v>101</v>
      </c>
      <c r="E25" s="56"/>
      <c r="F25" s="57"/>
      <c r="G25" s="361"/>
      <c r="H25" s="361"/>
      <c r="I25" s="56"/>
      <c r="J25" s="56"/>
      <c r="K25" s="362"/>
      <c r="L25" s="363"/>
      <c r="M25" s="363"/>
      <c r="N25" s="258"/>
      <c r="O25" s="258"/>
    </row>
    <row r="26" spans="1:15" ht="14.15" customHeight="1" x14ac:dyDescent="0.3">
      <c r="A26" s="380" t="s">
        <v>102</v>
      </c>
      <c r="B26" s="444" t="s">
        <v>103</v>
      </c>
      <c r="C26" s="3" t="s">
        <v>85</v>
      </c>
      <c r="D26" s="7">
        <f>D11</f>
        <v>1</v>
      </c>
      <c r="E26" s="37">
        <v>650</v>
      </c>
      <c r="F26" s="41">
        <v>0.2</v>
      </c>
      <c r="G26" s="348">
        <f>E26/(1-F26)</f>
        <v>812.5</v>
      </c>
      <c r="H26" s="371">
        <f>(((5*200)*4)*1.2)/D26</f>
        <v>4800</v>
      </c>
      <c r="I26" s="83">
        <v>0.15</v>
      </c>
      <c r="J26" s="79">
        <f>H26*(1+I26)</f>
        <v>5520</v>
      </c>
      <c r="K26" s="349">
        <f>J26*D26</f>
        <v>5520</v>
      </c>
      <c r="L26" s="350">
        <f>G26+J26</f>
        <v>6332.5</v>
      </c>
      <c r="M26" s="351">
        <f>D26*L26</f>
        <v>6332.5</v>
      </c>
      <c r="N26" s="258"/>
      <c r="O26" s="258"/>
    </row>
    <row r="27" spans="1:15" ht="14.5" customHeight="1" thickBot="1" x14ac:dyDescent="0.35">
      <c r="A27" s="381"/>
      <c r="B27" s="446" t="s">
        <v>104</v>
      </c>
      <c r="C27" s="49"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441"/>
      <c r="C28" s="71"/>
      <c r="D28" s="72"/>
      <c r="E28" s="73"/>
      <c r="F28" s="74"/>
      <c r="G28" s="356"/>
      <c r="H28" s="356"/>
      <c r="I28" s="73"/>
      <c r="J28" s="73"/>
      <c r="K28" s="357"/>
      <c r="L28" s="358"/>
      <c r="M28" s="358"/>
      <c r="N28" s="258"/>
      <c r="O28" s="258"/>
    </row>
    <row r="29" spans="1:15" ht="14.15" customHeight="1" x14ac:dyDescent="0.3">
      <c r="A29" s="359">
        <v>2.6</v>
      </c>
      <c r="B29" s="360"/>
      <c r="C29" s="255"/>
      <c r="D29" s="58" t="s">
        <v>105</v>
      </c>
      <c r="E29" s="56"/>
      <c r="F29" s="57"/>
      <c r="G29" s="361"/>
      <c r="H29" s="361"/>
      <c r="I29" s="56"/>
      <c r="J29" s="56"/>
      <c r="K29" s="362"/>
      <c r="L29" s="363"/>
      <c r="M29" s="363"/>
      <c r="N29" s="258"/>
      <c r="O29" s="258"/>
    </row>
    <row r="30" spans="1:15" ht="42" customHeight="1" x14ac:dyDescent="0.3">
      <c r="A30" s="341" t="s">
        <v>106</v>
      </c>
      <c r="B30" s="444" t="s">
        <v>107</v>
      </c>
      <c r="C30" s="30" t="s">
        <v>108</v>
      </c>
      <c r="D30" s="28">
        <v>0</v>
      </c>
      <c r="E30" s="36">
        <f>14.85*1.15</f>
        <v>17.077499999999997</v>
      </c>
      <c r="F30" s="41">
        <v>0.2</v>
      </c>
      <c r="G30" s="348">
        <f>E30/(1-F30)</f>
        <v>21.346874999999994</v>
      </c>
      <c r="H30" s="348">
        <f>39</f>
        <v>39</v>
      </c>
      <c r="I30" s="83">
        <v>0.15</v>
      </c>
      <c r="J30" s="79">
        <f>H30*(1+I30)</f>
        <v>44.849999999999994</v>
      </c>
      <c r="K30" s="349">
        <f>J30*D30</f>
        <v>0</v>
      </c>
      <c r="L30" s="350">
        <f>G30+J30</f>
        <v>66.196874999999991</v>
      </c>
      <c r="M30" s="351">
        <f>D30*L30</f>
        <v>0</v>
      </c>
      <c r="N30" s="258"/>
      <c r="O30" s="258"/>
    </row>
    <row r="31" spans="1:15" ht="14.15" customHeight="1" x14ac:dyDescent="0.3">
      <c r="A31" s="341" t="s">
        <v>109</v>
      </c>
      <c r="B31" s="443" t="s">
        <v>110</v>
      </c>
      <c r="C31" s="30" t="s">
        <v>108</v>
      </c>
      <c r="D31" s="1">
        <f>16 +N("2m * 8 cables")</f>
        <v>16</v>
      </c>
      <c r="E31" s="36">
        <f>180*1.15</f>
        <v>206.99999999999997</v>
      </c>
      <c r="F31" s="41">
        <v>0.2</v>
      </c>
      <c r="G31" s="348">
        <f>E31/(1-F31)</f>
        <v>258.74999999999994</v>
      </c>
      <c r="H31" s="348">
        <f>65</f>
        <v>65</v>
      </c>
      <c r="I31" s="83">
        <v>0.15</v>
      </c>
      <c r="J31" s="79">
        <f>H31*(1+I31)</f>
        <v>74.75</v>
      </c>
      <c r="K31" s="349">
        <f>J31*D31</f>
        <v>1196</v>
      </c>
      <c r="L31" s="350">
        <f>G31+J31</f>
        <v>333.49999999999994</v>
      </c>
      <c r="M31" s="351">
        <f>D31*L31</f>
        <v>5335.9999999999991</v>
      </c>
      <c r="N31" s="258"/>
      <c r="O31" s="258"/>
    </row>
    <row r="32" spans="1:15" ht="14.15" customHeight="1" x14ac:dyDescent="0.3">
      <c r="A32" s="341" t="s">
        <v>111</v>
      </c>
      <c r="B32" s="443" t="s">
        <v>112</v>
      </c>
      <c r="C32" s="30"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258"/>
    </row>
    <row r="33" spans="1:15" ht="14.5" customHeight="1" thickBot="1" x14ac:dyDescent="0.35">
      <c r="A33" s="381"/>
      <c r="B33" s="447" t="s">
        <v>113</v>
      </c>
      <c r="C33" s="30"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441"/>
      <c r="C34" s="71"/>
      <c r="D34" s="72"/>
      <c r="E34" s="73"/>
      <c r="F34" s="74"/>
      <c r="G34" s="356"/>
      <c r="H34" s="356"/>
      <c r="I34" s="73"/>
      <c r="J34" s="73"/>
      <c r="K34" s="357"/>
      <c r="L34" s="358"/>
      <c r="M34" s="358"/>
      <c r="N34" s="258"/>
      <c r="O34" s="258"/>
    </row>
    <row r="35" spans="1:15" ht="14.15" customHeight="1" x14ac:dyDescent="0.3">
      <c r="A35" s="359">
        <v>2.7</v>
      </c>
      <c r="B35" s="360"/>
      <c r="C35" s="255"/>
      <c r="D35" s="58" t="s">
        <v>114</v>
      </c>
      <c r="E35" s="56"/>
      <c r="F35" s="57"/>
      <c r="G35" s="361"/>
      <c r="H35" s="361"/>
      <c r="I35" s="56"/>
      <c r="J35" s="56"/>
      <c r="K35" s="362"/>
      <c r="L35" s="363"/>
      <c r="M35" s="363"/>
      <c r="N35" s="258"/>
      <c r="O35" s="258"/>
    </row>
    <row r="36" spans="1:15" ht="28" customHeight="1" x14ac:dyDescent="0.3">
      <c r="A36" s="370" t="s">
        <v>115</v>
      </c>
      <c r="B36" s="444" t="s">
        <v>116</v>
      </c>
      <c r="C36" s="3" t="s">
        <v>85</v>
      </c>
      <c r="D36" s="3">
        <v>0</v>
      </c>
      <c r="E36" s="37">
        <f>13501.37*1.2</f>
        <v>16201.644</v>
      </c>
      <c r="F36" s="41">
        <v>0.2</v>
      </c>
      <c r="G36" s="348">
        <f>E36/(1-F36)</f>
        <v>20252.055</v>
      </c>
      <c r="H36" s="371">
        <f>250*2</f>
        <v>500</v>
      </c>
      <c r="I36" s="83">
        <v>0.15</v>
      </c>
      <c r="J36" s="79">
        <f>H36*(1+I36)</f>
        <v>575</v>
      </c>
      <c r="K36" s="349">
        <f>J36*D36</f>
        <v>0</v>
      </c>
      <c r="L36" s="350">
        <f>G36+J36</f>
        <v>20827.055</v>
      </c>
      <c r="M36" s="351">
        <f>D36*L36</f>
        <v>0</v>
      </c>
      <c r="N36" s="258"/>
      <c r="O36" s="258"/>
    </row>
    <row r="37" spans="1:15" ht="28.5" customHeight="1" thickBot="1" x14ac:dyDescent="0.35">
      <c r="A37" s="381" t="s">
        <v>117</v>
      </c>
      <c r="B37" s="446" t="s">
        <v>118</v>
      </c>
      <c r="C37" s="67" t="s">
        <v>85</v>
      </c>
      <c r="D37" s="67">
        <v>0</v>
      </c>
      <c r="E37" s="69">
        <f>13501.37*1.2</f>
        <v>16201.644</v>
      </c>
      <c r="F37" s="52">
        <v>0.2</v>
      </c>
      <c r="G37" s="376">
        <f>E37/(1-F37)</f>
        <v>20252.055</v>
      </c>
      <c r="H37" s="377">
        <f>250*2</f>
        <v>500</v>
      </c>
      <c r="I37" s="83">
        <v>0.15</v>
      </c>
      <c r="J37" s="79">
        <f>H37*(1+I37)</f>
        <v>575</v>
      </c>
      <c r="K37" s="382">
        <f>J37*D37</f>
        <v>0</v>
      </c>
      <c r="L37" s="350">
        <f>G37+J37</f>
        <v>20827.055</v>
      </c>
      <c r="M37" s="378">
        <f>D37*L37</f>
        <v>0</v>
      </c>
      <c r="N37" s="258"/>
      <c r="O37" s="258"/>
    </row>
    <row r="38" spans="1:15" ht="14.5" customHeight="1" thickBot="1" x14ac:dyDescent="0.35">
      <c r="A38" s="354"/>
      <c r="B38" s="441"/>
      <c r="C38" s="71"/>
      <c r="D38" s="72"/>
      <c r="E38" s="73"/>
      <c r="F38" s="74"/>
      <c r="G38" s="356"/>
      <c r="H38" s="356"/>
      <c r="I38" s="73"/>
      <c r="J38" s="73"/>
      <c r="K38" s="357"/>
      <c r="L38" s="358"/>
      <c r="M38" s="358"/>
      <c r="N38" s="258"/>
      <c r="O38" s="258"/>
    </row>
    <row r="39" spans="1:15" ht="16.5" customHeight="1" x14ac:dyDescent="0.3">
      <c r="A39" s="359">
        <v>2.8</v>
      </c>
      <c r="B39" s="360"/>
      <c r="C39" s="255"/>
      <c r="D39" s="58" t="s">
        <v>119</v>
      </c>
      <c r="E39" s="56"/>
      <c r="F39" s="57"/>
      <c r="G39" s="361"/>
      <c r="H39" s="361"/>
      <c r="I39" s="56"/>
      <c r="J39" s="56"/>
      <c r="K39" s="362"/>
      <c r="L39" s="363"/>
      <c r="M39" s="363"/>
      <c r="N39" s="258"/>
      <c r="O39" s="258"/>
    </row>
    <row r="40" spans="1:15" ht="16.5" customHeight="1" x14ac:dyDescent="0.3">
      <c r="A40" s="384"/>
      <c r="B40" s="342"/>
      <c r="C40" s="30"/>
      <c r="D40" s="1"/>
      <c r="E40" s="36"/>
      <c r="F40" s="41"/>
      <c r="G40" s="348"/>
      <c r="H40" s="348"/>
      <c r="I40" s="83"/>
      <c r="J40" s="79"/>
      <c r="K40" s="349"/>
      <c r="L40" s="350"/>
      <c r="M40" s="351"/>
      <c r="N40" s="258"/>
      <c r="O40" s="258"/>
    </row>
    <row r="41" spans="1:15" ht="14.15" customHeight="1" x14ac:dyDescent="0.3">
      <c r="A41" s="341" t="s">
        <v>120</v>
      </c>
      <c r="B41" s="385" t="s">
        <v>121</v>
      </c>
      <c r="C41" s="30" t="s">
        <v>85</v>
      </c>
      <c r="D41" s="1">
        <v>0</v>
      </c>
      <c r="E41" s="36">
        <v>2500</v>
      </c>
      <c r="F41" s="41">
        <v>0.2</v>
      </c>
      <c r="G41" s="348">
        <f>E41/(1-F41)</f>
        <v>3125</v>
      </c>
      <c r="H41" s="348">
        <f>(250+100)*4</f>
        <v>1400</v>
      </c>
      <c r="I41" s="83">
        <v>0.15</v>
      </c>
      <c r="J41" s="79">
        <f>H41*(1+I41)</f>
        <v>1609.9999999999998</v>
      </c>
      <c r="K41" s="349">
        <f>J41*D41</f>
        <v>0</v>
      </c>
      <c r="L41" s="350">
        <f>G41+J41</f>
        <v>4735</v>
      </c>
      <c r="M41" s="351">
        <f>D41*L41</f>
        <v>0</v>
      </c>
      <c r="N41" s="258"/>
      <c r="O41" s="258"/>
    </row>
    <row r="42" spans="1:15" ht="14.15" customHeight="1" x14ac:dyDescent="0.3">
      <c r="A42" s="341"/>
      <c r="B42" s="448"/>
      <c r="C42" s="27"/>
      <c r="D42" s="1"/>
      <c r="E42" s="36"/>
      <c r="F42" s="41"/>
      <c r="G42" s="348"/>
      <c r="H42" s="348"/>
      <c r="I42" s="79"/>
      <c r="J42" s="79"/>
      <c r="K42" s="349"/>
      <c r="L42" s="350"/>
      <c r="M42" s="351"/>
      <c r="N42" s="258"/>
      <c r="O42" s="258"/>
    </row>
    <row r="43" spans="1:15" ht="14.15" customHeight="1" x14ac:dyDescent="0.3">
      <c r="A43" s="341" t="s">
        <v>122</v>
      </c>
      <c r="B43" s="385" t="s">
        <v>123</v>
      </c>
      <c r="C43" s="30" t="s">
        <v>85</v>
      </c>
      <c r="D43" s="1">
        <v>2</v>
      </c>
      <c r="E43" s="36">
        <v>1800</v>
      </c>
      <c r="F43" s="41">
        <v>0.2</v>
      </c>
      <c r="G43" s="348">
        <f>E43/(1-F43)</f>
        <v>2250</v>
      </c>
      <c r="H43" s="348">
        <f>(250+100)*4</f>
        <v>1400</v>
      </c>
      <c r="I43" s="83">
        <v>0.15</v>
      </c>
      <c r="J43" s="79">
        <f>H43*(1+I43)</f>
        <v>1609.9999999999998</v>
      </c>
      <c r="K43" s="349">
        <f>J43*D43</f>
        <v>3219.9999999999995</v>
      </c>
      <c r="L43" s="350">
        <f>G43+J43</f>
        <v>3860</v>
      </c>
      <c r="M43" s="351">
        <f>D43*L43</f>
        <v>7720</v>
      </c>
      <c r="N43" s="258"/>
      <c r="O43" s="258"/>
    </row>
    <row r="44" spans="1:15" ht="14.15" customHeight="1" x14ac:dyDescent="0.3">
      <c r="A44" s="341"/>
      <c r="B44" s="385"/>
      <c r="C44" s="30"/>
      <c r="D44" s="1"/>
      <c r="E44" s="36"/>
      <c r="F44" s="41"/>
      <c r="G44" s="348"/>
      <c r="H44" s="348"/>
      <c r="I44" s="79"/>
      <c r="J44" s="79"/>
      <c r="K44" s="349"/>
      <c r="L44" s="350"/>
      <c r="M44" s="351"/>
      <c r="N44" s="258"/>
      <c r="O44" s="258"/>
    </row>
    <row r="45" spans="1:15" ht="14.15" customHeight="1" x14ac:dyDescent="0.3">
      <c r="A45" s="341" t="s">
        <v>124</v>
      </c>
      <c r="B45" s="385" t="s">
        <v>125</v>
      </c>
      <c r="C45" s="30" t="s">
        <v>85</v>
      </c>
      <c r="D45" s="1">
        <f>8  +N("8 Isolators")</f>
        <v>8</v>
      </c>
      <c r="E45" s="36">
        <f>800</f>
        <v>800</v>
      </c>
      <c r="F45" s="41">
        <v>0.2</v>
      </c>
      <c r="G45" s="348">
        <f>E45/(1-F45)</f>
        <v>1000</v>
      </c>
      <c r="H45" s="348">
        <f>(250+100)*4</f>
        <v>1400</v>
      </c>
      <c r="I45" s="83">
        <v>0.15</v>
      </c>
      <c r="J45" s="79">
        <f>H45*(1+I45)</f>
        <v>1609.9999999999998</v>
      </c>
      <c r="K45" s="349">
        <f>J45*D45</f>
        <v>12879.999999999998</v>
      </c>
      <c r="L45" s="350">
        <f>G45+J45</f>
        <v>2610</v>
      </c>
      <c r="M45" s="351">
        <f>D45*L45</f>
        <v>20880</v>
      </c>
      <c r="N45" s="258"/>
      <c r="O45" s="258"/>
    </row>
    <row r="46" spans="1:15" ht="14.15" customHeight="1" x14ac:dyDescent="0.3">
      <c r="A46" s="341"/>
      <c r="B46" s="387"/>
      <c r="C46" s="27"/>
      <c r="D46" s="1"/>
      <c r="E46" s="36"/>
      <c r="F46" s="41"/>
      <c r="G46" s="348"/>
      <c r="H46" s="348"/>
      <c r="I46" s="79"/>
      <c r="J46" s="79"/>
      <c r="K46" s="349"/>
      <c r="L46" s="350"/>
      <c r="M46" s="351"/>
      <c r="N46" s="258"/>
      <c r="O46" s="258"/>
    </row>
    <row r="47" spans="1:15" ht="14.5" customHeight="1" thickBot="1" x14ac:dyDescent="0.35">
      <c r="A47" s="381" t="s">
        <v>126</v>
      </c>
      <c r="B47" s="388" t="s">
        <v>127</v>
      </c>
      <c r="C47" s="49" t="s">
        <v>85</v>
      </c>
      <c r="D47" s="50">
        <v>1</v>
      </c>
      <c r="E47" s="51">
        <f>550*1.2</f>
        <v>660</v>
      </c>
      <c r="F47" s="52">
        <v>0.2</v>
      </c>
      <c r="G47" s="376">
        <f>E47/(1-F47)</f>
        <v>825</v>
      </c>
      <c r="H47" s="376">
        <f>(250+100)*4</f>
        <v>1400</v>
      </c>
      <c r="I47" s="83">
        <v>0.15</v>
      </c>
      <c r="J47" s="79">
        <f>H47*(1+I47)</f>
        <v>1609.9999999999998</v>
      </c>
      <c r="K47" s="349">
        <f>J47*D47</f>
        <v>1609.9999999999998</v>
      </c>
      <c r="L47" s="350">
        <f>G47+J47</f>
        <v>2435</v>
      </c>
      <c r="M47" s="378">
        <f>D47*L47</f>
        <v>2435</v>
      </c>
      <c r="N47" s="258"/>
      <c r="O47" s="258"/>
    </row>
    <row r="48" spans="1:15" ht="14.5" customHeight="1" thickBot="1" x14ac:dyDescent="0.35">
      <c r="A48" s="354"/>
      <c r="B48" s="441"/>
      <c r="C48" s="71"/>
      <c r="D48" s="72"/>
      <c r="E48" s="73"/>
      <c r="F48" s="74"/>
      <c r="G48" s="356"/>
      <c r="H48" s="356"/>
      <c r="I48" s="73"/>
      <c r="J48" s="73"/>
      <c r="K48" s="357"/>
      <c r="L48" s="358"/>
      <c r="M48" s="358"/>
      <c r="N48" s="258"/>
      <c r="O48" s="258"/>
    </row>
    <row r="49" spans="1:15" ht="16.5" customHeight="1" x14ac:dyDescent="0.3">
      <c r="A49" s="359">
        <v>2.9</v>
      </c>
      <c r="B49" s="367"/>
      <c r="C49" s="255"/>
      <c r="D49" s="58" t="s">
        <v>128</v>
      </c>
      <c r="E49" s="56"/>
      <c r="F49" s="57"/>
      <c r="G49" s="361"/>
      <c r="H49" s="361"/>
      <c r="I49" s="56"/>
      <c r="J49" s="56"/>
      <c r="K49" s="362"/>
      <c r="L49" s="363"/>
      <c r="M49" s="363"/>
      <c r="N49" s="258"/>
      <c r="O49" s="258"/>
    </row>
    <row r="50" spans="1:15" ht="16.5" customHeight="1" x14ac:dyDescent="0.3">
      <c r="A50" s="341"/>
      <c r="B50" s="342"/>
      <c r="C50" s="30"/>
      <c r="D50" s="1"/>
      <c r="E50" s="36"/>
      <c r="F50" s="41"/>
      <c r="G50" s="348"/>
      <c r="H50" s="348"/>
      <c r="I50" s="79"/>
      <c r="J50" s="79"/>
      <c r="K50" s="349"/>
      <c r="L50" s="350"/>
      <c r="M50" s="351"/>
      <c r="N50" s="258"/>
      <c r="O50" s="258"/>
    </row>
    <row r="51" spans="1:15" ht="14.15" customHeight="1" x14ac:dyDescent="0.3">
      <c r="A51" s="341" t="s">
        <v>129</v>
      </c>
      <c r="B51" s="385" t="s">
        <v>130</v>
      </c>
      <c r="C51" s="30" t="s">
        <v>85</v>
      </c>
      <c r="D51" s="1">
        <v>0</v>
      </c>
      <c r="E51" s="36">
        <v>2500</v>
      </c>
      <c r="F51" s="41">
        <v>0.2</v>
      </c>
      <c r="G51" s="348">
        <f>E51/(1-F51)</f>
        <v>3125</v>
      </c>
      <c r="H51" s="348">
        <f>250*1</f>
        <v>250</v>
      </c>
      <c r="I51" s="83">
        <v>0.15</v>
      </c>
      <c r="J51" s="79">
        <f>H51*(1+I51)</f>
        <v>287.5</v>
      </c>
      <c r="K51" s="349">
        <f>J51*D51</f>
        <v>0</v>
      </c>
      <c r="L51" s="350">
        <f>G51+J51</f>
        <v>3412.5</v>
      </c>
      <c r="M51" s="351">
        <f>D51*L51</f>
        <v>0</v>
      </c>
      <c r="N51" s="258"/>
      <c r="O51" s="258"/>
    </row>
    <row r="52" spans="1:15" ht="14.15" customHeight="1" x14ac:dyDescent="0.3">
      <c r="A52" s="341"/>
      <c r="B52" s="385"/>
      <c r="C52" s="30"/>
      <c r="D52" s="1"/>
      <c r="E52" s="36"/>
      <c r="F52" s="41"/>
      <c r="G52" s="348"/>
      <c r="H52" s="348"/>
      <c r="I52" s="79"/>
      <c r="J52" s="79"/>
      <c r="K52" s="349"/>
      <c r="L52" s="350"/>
      <c r="M52" s="351"/>
      <c r="N52" s="258"/>
      <c r="O52" s="258"/>
    </row>
    <row r="53" spans="1:15" ht="14.15" customHeight="1" x14ac:dyDescent="0.3">
      <c r="A53" s="341" t="s">
        <v>131</v>
      </c>
      <c r="B53" s="385" t="s">
        <v>132</v>
      </c>
      <c r="C53" s="30" t="s">
        <v>85</v>
      </c>
      <c r="D53" s="1">
        <f>8 + N("6 DB's + 1 for AC In + 1 for AC out")</f>
        <v>8</v>
      </c>
      <c r="E53" s="36">
        <v>5729</v>
      </c>
      <c r="F53" s="41">
        <v>0.2</v>
      </c>
      <c r="G53" s="348">
        <f>E53/(1-F53)</f>
        <v>7161.25</v>
      </c>
      <c r="H53" s="348">
        <v>250</v>
      </c>
      <c r="I53" s="83">
        <v>0.15</v>
      </c>
      <c r="J53" s="79">
        <f>H53*(1+I53)</f>
        <v>287.5</v>
      </c>
      <c r="K53" s="349">
        <f>J53*D53</f>
        <v>2300</v>
      </c>
      <c r="L53" s="350">
        <f>G53+J53</f>
        <v>7448.75</v>
      </c>
      <c r="M53" s="351">
        <f>D53*L53</f>
        <v>59590</v>
      </c>
      <c r="N53" s="258"/>
      <c r="O53" s="258"/>
    </row>
    <row r="54" spans="1:15" ht="14.15" customHeight="1" x14ac:dyDescent="0.3">
      <c r="A54" s="341"/>
      <c r="B54" s="387"/>
      <c r="C54" s="27"/>
      <c r="D54" s="1"/>
      <c r="E54" s="36"/>
      <c r="F54" s="41"/>
      <c r="G54" s="348"/>
      <c r="H54" s="348"/>
      <c r="I54" s="79"/>
      <c r="J54" s="79"/>
      <c r="K54" s="349"/>
      <c r="L54" s="350"/>
      <c r="M54" s="351"/>
      <c r="N54" s="258"/>
      <c r="O54" s="258"/>
    </row>
    <row r="55" spans="1:15" ht="14.15" customHeight="1" x14ac:dyDescent="0.3">
      <c r="A55" s="341" t="s">
        <v>133</v>
      </c>
      <c r="B55" s="387" t="s">
        <v>134</v>
      </c>
      <c r="C55" s="30" t="s">
        <v>85</v>
      </c>
      <c r="D55" s="1">
        <v>1</v>
      </c>
      <c r="E55" s="36">
        <f>5729</f>
        <v>5729</v>
      </c>
      <c r="F55" s="41">
        <v>0.2</v>
      </c>
      <c r="G55" s="348">
        <f>E55/(1-F55)</f>
        <v>7161.25</v>
      </c>
      <c r="H55" s="348">
        <v>250</v>
      </c>
      <c r="I55" s="83">
        <v>0.15</v>
      </c>
      <c r="J55" s="79">
        <f>H55*(1+I55)</f>
        <v>287.5</v>
      </c>
      <c r="K55" s="349">
        <f>J55*D55</f>
        <v>287.5</v>
      </c>
      <c r="L55" s="350">
        <f>G55+J55</f>
        <v>7448.75</v>
      </c>
      <c r="M55" s="351">
        <f>D55*L55</f>
        <v>7448.75</v>
      </c>
      <c r="N55" s="258"/>
      <c r="O55" s="258"/>
    </row>
    <row r="56" spans="1:15" ht="14.15" customHeight="1" x14ac:dyDescent="0.3">
      <c r="A56" s="341"/>
      <c r="B56" s="387"/>
      <c r="C56" s="29"/>
      <c r="D56" s="1"/>
      <c r="E56" s="36"/>
      <c r="F56" s="41"/>
      <c r="G56" s="348"/>
      <c r="H56" s="348"/>
      <c r="I56" s="79"/>
      <c r="J56" s="79"/>
      <c r="K56" s="349"/>
      <c r="L56" s="350"/>
      <c r="M56" s="351"/>
      <c r="N56" s="258"/>
      <c r="O56" s="258"/>
    </row>
    <row r="57" spans="1:15" ht="28" customHeight="1" x14ac:dyDescent="0.3">
      <c r="A57" s="341" t="s">
        <v>135</v>
      </c>
      <c r="B57" s="385" t="s">
        <v>136</v>
      </c>
      <c r="C57" s="248" t="s">
        <v>85</v>
      </c>
      <c r="D57" s="1">
        <v>3</v>
      </c>
      <c r="E57" s="36">
        <v>350</v>
      </c>
      <c r="F57" s="41">
        <v>0.2</v>
      </c>
      <c r="G57" s="348">
        <f>E57/(1-F57)</f>
        <v>437.5</v>
      </c>
      <c r="H57" s="348">
        <v>250</v>
      </c>
      <c r="I57" s="83">
        <v>0.15</v>
      </c>
      <c r="J57" s="79">
        <f>H57*(1+I57)</f>
        <v>287.5</v>
      </c>
      <c r="K57" s="349">
        <f>J57*D57</f>
        <v>862.5</v>
      </c>
      <c r="L57" s="350">
        <f>G57+J57</f>
        <v>725</v>
      </c>
      <c r="M57" s="351">
        <f>D57*L57</f>
        <v>2175</v>
      </c>
      <c r="N57" s="258"/>
      <c r="O57" s="258"/>
    </row>
    <row r="58" spans="1:15" ht="14.15" customHeight="1" x14ac:dyDescent="0.3">
      <c r="A58" s="341"/>
      <c r="B58" s="387"/>
      <c r="C58" s="88"/>
      <c r="D58" s="1"/>
      <c r="E58" s="36"/>
      <c r="F58" s="41"/>
      <c r="G58" s="348"/>
      <c r="H58" s="348"/>
      <c r="I58" s="79"/>
      <c r="J58" s="79"/>
      <c r="K58" s="349"/>
      <c r="L58" s="350"/>
      <c r="M58" s="351"/>
      <c r="N58" s="258"/>
      <c r="O58" s="258"/>
    </row>
    <row r="59" spans="1:15" ht="14.15" customHeight="1" x14ac:dyDescent="0.3">
      <c r="A59" s="341" t="s">
        <v>137</v>
      </c>
      <c r="B59" s="385" t="s">
        <v>138</v>
      </c>
      <c r="C59" s="248" t="s">
        <v>108</v>
      </c>
      <c r="D59" s="1">
        <v>20</v>
      </c>
      <c r="E59" s="36">
        <f>35</f>
        <v>35</v>
      </c>
      <c r="F59" s="41">
        <v>0.2</v>
      </c>
      <c r="G59" s="348">
        <f>E59/(1-F59)</f>
        <v>43.75</v>
      </c>
      <c r="H59" s="348">
        <f>(65*3)</f>
        <v>195</v>
      </c>
      <c r="I59" s="83">
        <v>0.15</v>
      </c>
      <c r="J59" s="79">
        <f>H59*(1+I59)</f>
        <v>224.24999999999997</v>
      </c>
      <c r="K59" s="349">
        <f>J59*D59</f>
        <v>4484.9999999999991</v>
      </c>
      <c r="L59" s="350">
        <f>G59+J59</f>
        <v>268</v>
      </c>
      <c r="M59" s="351">
        <f>D59*L59</f>
        <v>5360</v>
      </c>
      <c r="N59" s="258"/>
      <c r="O59" s="258"/>
    </row>
    <row r="60" spans="1:15" ht="14.15" customHeight="1" x14ac:dyDescent="0.3">
      <c r="A60" s="341"/>
      <c r="B60" s="387"/>
      <c r="C60" s="29"/>
      <c r="D60" s="1"/>
      <c r="E60" s="36"/>
      <c r="F60" s="41"/>
      <c r="G60" s="348"/>
      <c r="H60" s="348"/>
      <c r="I60" s="79"/>
      <c r="J60" s="79"/>
      <c r="K60" s="349"/>
      <c r="L60" s="350"/>
      <c r="M60" s="351"/>
      <c r="N60" s="258"/>
      <c r="O60" s="258"/>
    </row>
    <row r="61" spans="1:15" ht="14.5" customHeight="1" thickBot="1" x14ac:dyDescent="0.35">
      <c r="A61" s="341" t="s">
        <v>139</v>
      </c>
      <c r="B61" s="385" t="s">
        <v>140</v>
      </c>
      <c r="C61" s="30" t="s">
        <v>42</v>
      </c>
      <c r="D61" s="1">
        <v>1</v>
      </c>
      <c r="E61" s="36">
        <v>1</v>
      </c>
      <c r="F61" s="41">
        <v>0.2</v>
      </c>
      <c r="G61" s="348">
        <f>E61/(1-F61)</f>
        <v>1.25</v>
      </c>
      <c r="H61" s="348">
        <f>2500*3</f>
        <v>7500</v>
      </c>
      <c r="I61" s="83">
        <v>0.15</v>
      </c>
      <c r="J61" s="79">
        <f>H61*(1+I61)</f>
        <v>8625</v>
      </c>
      <c r="K61" s="349">
        <f>J61*D61</f>
        <v>8625</v>
      </c>
      <c r="L61" s="350">
        <f>G61+J61</f>
        <v>8626.25</v>
      </c>
      <c r="M61" s="351">
        <f>D61*L61</f>
        <v>8626.25</v>
      </c>
      <c r="N61" s="258"/>
      <c r="O61" s="258"/>
    </row>
    <row r="62" spans="1:15" ht="14.5" customHeight="1" thickBot="1" x14ac:dyDescent="0.35">
      <c r="A62" s="354"/>
      <c r="B62" s="441"/>
      <c r="C62" s="71"/>
      <c r="D62" s="72"/>
      <c r="E62" s="73"/>
      <c r="F62" s="74"/>
      <c r="G62" s="356"/>
      <c r="H62" s="356"/>
      <c r="I62" s="73"/>
      <c r="J62" s="73"/>
      <c r="K62" s="357"/>
      <c r="L62" s="358"/>
      <c r="M62" s="358"/>
      <c r="N62" s="258"/>
      <c r="O62" s="258"/>
    </row>
    <row r="63" spans="1:15" ht="14.15" customHeight="1" x14ac:dyDescent="0.3">
      <c r="A63" s="389">
        <v>2.1</v>
      </c>
      <c r="B63" s="390"/>
      <c r="C63" s="251"/>
      <c r="D63" s="65" t="s">
        <v>141</v>
      </c>
      <c r="E63" s="53"/>
      <c r="F63" s="54"/>
      <c r="G63" s="391"/>
      <c r="H63" s="391"/>
      <c r="I63" s="53"/>
      <c r="J63" s="53"/>
      <c r="K63" s="392"/>
      <c r="L63" s="393"/>
      <c r="M63" s="393"/>
      <c r="N63" s="258"/>
      <c r="O63" s="258"/>
    </row>
    <row r="64" spans="1:15" ht="28" customHeight="1" x14ac:dyDescent="0.3">
      <c r="A64" s="370" t="s">
        <v>142</v>
      </c>
      <c r="B64" s="444" t="s">
        <v>143</v>
      </c>
      <c r="C64" s="7" t="s">
        <v>90</v>
      </c>
      <c r="D64" s="7">
        <v>3</v>
      </c>
      <c r="E64" s="37">
        <v>10000</v>
      </c>
      <c r="F64" s="41">
        <v>0.16</v>
      </c>
      <c r="G64" s="348">
        <f>E64/(1-F64)</f>
        <v>11904.761904761905</v>
      </c>
      <c r="H64" s="371">
        <v>200</v>
      </c>
      <c r="I64" s="83">
        <v>0.15</v>
      </c>
      <c r="J64" s="79">
        <f>H64*(1+I64)</f>
        <v>229.99999999999997</v>
      </c>
      <c r="K64" s="349">
        <f>J64*D64</f>
        <v>689.99999999999989</v>
      </c>
      <c r="L64" s="350">
        <f>G64+J64</f>
        <v>12134.761904761905</v>
      </c>
      <c r="M64" s="351">
        <f>D64*L64</f>
        <v>36404.28571428571</v>
      </c>
      <c r="N64" s="258"/>
      <c r="O64" s="258"/>
    </row>
    <row r="65" spans="1:15" ht="14.15" customHeight="1" x14ac:dyDescent="0.3">
      <c r="A65" s="394"/>
      <c r="B65" s="395"/>
      <c r="C65" s="30"/>
      <c r="D65" s="248"/>
      <c r="E65" s="36"/>
      <c r="F65" s="41"/>
      <c r="G65" s="348"/>
      <c r="H65" s="348"/>
      <c r="I65" s="79"/>
      <c r="J65" s="79"/>
      <c r="K65" s="349"/>
      <c r="L65" s="350"/>
      <c r="M65" s="351"/>
      <c r="N65" s="258"/>
      <c r="O65" s="258"/>
    </row>
    <row r="66" spans="1:15" ht="28.5" customHeight="1" thickBot="1" x14ac:dyDescent="0.35">
      <c r="A66" s="396" t="s">
        <v>144</v>
      </c>
      <c r="B66" s="446" t="s">
        <v>145</v>
      </c>
      <c r="C66" s="67" t="s">
        <v>90</v>
      </c>
      <c r="D66" s="67">
        <v>0</v>
      </c>
      <c r="E66" s="69">
        <v>7500</v>
      </c>
      <c r="F66" s="52">
        <v>0.16</v>
      </c>
      <c r="G66" s="376">
        <f>E66/(1-F66)</f>
        <v>8928.5714285714294</v>
      </c>
      <c r="H66" s="377">
        <v>200</v>
      </c>
      <c r="I66" s="83">
        <v>0.15</v>
      </c>
      <c r="J66" s="79">
        <f>H66*(1+I66)</f>
        <v>229.99999999999997</v>
      </c>
      <c r="K66" s="382">
        <f>J66*D66</f>
        <v>0</v>
      </c>
      <c r="L66" s="350">
        <f>G66+J66</f>
        <v>9158.5714285714294</v>
      </c>
      <c r="M66" s="378">
        <f>D66*L66</f>
        <v>0</v>
      </c>
      <c r="N66" s="258"/>
      <c r="O66" s="258"/>
    </row>
    <row r="67" spans="1:15" ht="14.5" customHeight="1" thickBot="1" x14ac:dyDescent="0.35">
      <c r="A67" s="397"/>
      <c r="B67" s="449"/>
      <c r="C67" s="71"/>
      <c r="D67" s="72"/>
      <c r="E67" s="73"/>
      <c r="F67" s="74"/>
      <c r="G67" s="356"/>
      <c r="H67" s="356"/>
      <c r="I67" s="73"/>
      <c r="J67" s="73"/>
      <c r="K67" s="357"/>
      <c r="L67" s="358"/>
      <c r="M67" s="358"/>
      <c r="N67" s="258"/>
      <c r="O67" s="258"/>
    </row>
    <row r="68" spans="1:15" ht="14.15" customHeight="1" x14ac:dyDescent="0.3">
      <c r="A68" s="359">
        <v>2.11</v>
      </c>
      <c r="B68" s="450"/>
      <c r="C68" s="75"/>
      <c r="D68" s="58" t="s">
        <v>146</v>
      </c>
      <c r="E68" s="56"/>
      <c r="F68" s="57"/>
      <c r="G68" s="361"/>
      <c r="H68" s="361"/>
      <c r="I68" s="56"/>
      <c r="J68" s="56"/>
      <c r="K68" s="362"/>
      <c r="L68" s="363"/>
      <c r="M68" s="363"/>
      <c r="N68" s="258"/>
      <c r="O68" s="258"/>
    </row>
    <row r="69" spans="1:15" ht="14.15" customHeight="1" x14ac:dyDescent="0.3">
      <c r="A69" s="341"/>
      <c r="B69" s="444"/>
      <c r="C69" s="70"/>
      <c r="D69" s="1"/>
      <c r="E69" s="36"/>
      <c r="F69" s="41"/>
      <c r="G69" s="348"/>
      <c r="H69" s="348"/>
      <c r="I69" s="79"/>
      <c r="J69" s="79"/>
      <c r="K69" s="349"/>
      <c r="L69" s="350"/>
      <c r="M69" s="351"/>
      <c r="N69" s="258"/>
      <c r="O69" s="258"/>
    </row>
    <row r="70" spans="1:15" ht="14.15" customHeight="1" x14ac:dyDescent="0.3">
      <c r="A70" s="341"/>
      <c r="B70" s="443" t="s">
        <v>147</v>
      </c>
      <c r="C70" s="27"/>
      <c r="D70" s="1"/>
      <c r="E70" s="36"/>
      <c r="F70" s="41"/>
      <c r="G70" s="348"/>
      <c r="H70" s="348"/>
      <c r="I70" s="79"/>
      <c r="J70" s="79"/>
      <c r="K70" s="349"/>
      <c r="L70" s="350"/>
      <c r="M70" s="351"/>
      <c r="N70" s="258"/>
      <c r="O70" s="258"/>
    </row>
    <row r="71" spans="1:15" ht="14.15" customHeight="1" x14ac:dyDescent="0.3">
      <c r="A71" s="341"/>
      <c r="B71" s="448"/>
      <c r="C71" s="27"/>
      <c r="D71" s="1"/>
      <c r="E71" s="36"/>
      <c r="F71" s="41"/>
      <c r="G71" s="348"/>
      <c r="H71" s="348"/>
      <c r="I71" s="79"/>
      <c r="J71" s="79"/>
      <c r="K71" s="349"/>
      <c r="L71" s="350"/>
      <c r="M71" s="351"/>
      <c r="N71" s="258"/>
      <c r="O71" s="258"/>
    </row>
    <row r="72" spans="1:15" ht="42" customHeight="1" x14ac:dyDescent="0.3">
      <c r="A72" s="341"/>
      <c r="B72" s="448" t="s">
        <v>148</v>
      </c>
      <c r="C72" s="27"/>
      <c r="D72" s="248"/>
      <c r="E72" s="36"/>
      <c r="F72" s="41"/>
      <c r="G72" s="348"/>
      <c r="H72" s="348"/>
      <c r="I72" s="79"/>
      <c r="J72" s="79"/>
      <c r="K72" s="349"/>
      <c r="L72" s="350"/>
      <c r="M72" s="351"/>
      <c r="N72" s="258"/>
      <c r="O72" s="258"/>
    </row>
    <row r="73" spans="1:15" ht="14.15" customHeight="1" x14ac:dyDescent="0.3">
      <c r="A73" s="384"/>
      <c r="B73" s="443"/>
      <c r="C73" s="27"/>
      <c r="D73" s="28"/>
      <c r="E73" s="38"/>
      <c r="F73" s="41"/>
      <c r="G73" s="348"/>
      <c r="H73" s="400"/>
      <c r="I73" s="81"/>
      <c r="J73" s="81"/>
      <c r="K73" s="349"/>
      <c r="L73" s="350"/>
      <c r="M73" s="351"/>
      <c r="N73" s="258"/>
      <c r="O73" s="258"/>
    </row>
    <row r="74" spans="1:15" ht="14.15" customHeight="1" x14ac:dyDescent="0.3">
      <c r="A74" s="341" t="s">
        <v>149</v>
      </c>
      <c r="B74" s="443" t="s">
        <v>150</v>
      </c>
      <c r="C74" s="27" t="s">
        <v>108</v>
      </c>
      <c r="D74" s="1">
        <v>0</v>
      </c>
      <c r="E74" s="36">
        <v>947.75</v>
      </c>
      <c r="F74" s="41">
        <v>0.25</v>
      </c>
      <c r="G74" s="348">
        <f t="shared" ref="G74:G79" si="0">E74/(1-F74)</f>
        <v>1263.6666666666667</v>
      </c>
      <c r="H74" s="348">
        <v>25</v>
      </c>
      <c r="I74" s="83">
        <v>0.15</v>
      </c>
      <c r="J74" s="79">
        <f t="shared" ref="J74:J79" si="1">H74*(1+I74)</f>
        <v>28.749999999999996</v>
      </c>
      <c r="K74" s="349">
        <f t="shared" ref="K74:K79" si="2">J74*D74</f>
        <v>0</v>
      </c>
      <c r="L74" s="350">
        <f t="shared" ref="L74:L79" si="3">G74+J74</f>
        <v>1292.4166666666667</v>
      </c>
      <c r="M74" s="351">
        <f t="shared" ref="M74:M79" si="4">D74*L74</f>
        <v>0</v>
      </c>
      <c r="N74" s="258"/>
      <c r="O74" s="258"/>
    </row>
    <row r="75" spans="1:15" ht="14.15" customHeight="1" x14ac:dyDescent="0.3">
      <c r="A75" s="341" t="s">
        <v>151</v>
      </c>
      <c r="B75" s="443" t="s">
        <v>152</v>
      </c>
      <c r="C75" s="27" t="s">
        <v>108</v>
      </c>
      <c r="D75" s="1">
        <v>0</v>
      </c>
      <c r="E75" s="36">
        <v>686.12</v>
      </c>
      <c r="F75" s="41">
        <v>0.25</v>
      </c>
      <c r="G75" s="348">
        <f t="shared" si="0"/>
        <v>914.82666666666671</v>
      </c>
      <c r="H75" s="348">
        <v>25</v>
      </c>
      <c r="I75" s="83">
        <v>0.15</v>
      </c>
      <c r="J75" s="79">
        <f t="shared" si="1"/>
        <v>28.749999999999996</v>
      </c>
      <c r="K75" s="349">
        <f t="shared" si="2"/>
        <v>0</v>
      </c>
      <c r="L75" s="350">
        <f t="shared" si="3"/>
        <v>943.57666666666671</v>
      </c>
      <c r="M75" s="351">
        <f t="shared" si="4"/>
        <v>0</v>
      </c>
      <c r="N75" s="258"/>
      <c r="O75" s="258"/>
    </row>
    <row r="76" spans="1:15" ht="14.15" customHeight="1" x14ac:dyDescent="0.3">
      <c r="A76" s="341" t="s">
        <v>153</v>
      </c>
      <c r="B76" s="443" t="s">
        <v>154</v>
      </c>
      <c r="C76" s="27" t="s">
        <v>108</v>
      </c>
      <c r="D76" s="1">
        <f>65 + N("15m for AC In and 50m for distribution to first floor dbs")</f>
        <v>65</v>
      </c>
      <c r="E76" s="36">
        <v>538.9</v>
      </c>
      <c r="F76" s="41">
        <v>0.25</v>
      </c>
      <c r="G76" s="348">
        <f t="shared" si="0"/>
        <v>718.5333333333333</v>
      </c>
      <c r="H76" s="348">
        <v>25</v>
      </c>
      <c r="I76" s="83">
        <v>0.15</v>
      </c>
      <c r="J76" s="79">
        <f t="shared" si="1"/>
        <v>28.749999999999996</v>
      </c>
      <c r="K76" s="349">
        <f t="shared" si="2"/>
        <v>1868.7499999999998</v>
      </c>
      <c r="L76" s="350">
        <f t="shared" si="3"/>
        <v>747.2833333333333</v>
      </c>
      <c r="M76" s="351">
        <f t="shared" si="4"/>
        <v>48573.416666666664</v>
      </c>
      <c r="N76" s="258"/>
      <c r="O76" s="258"/>
    </row>
    <row r="77" spans="1:15" ht="14.15" customHeight="1" x14ac:dyDescent="0.3">
      <c r="A77" s="341" t="s">
        <v>155</v>
      </c>
      <c r="B77" s="443" t="s">
        <v>156</v>
      </c>
      <c r="C77" s="29" t="s">
        <v>108</v>
      </c>
      <c r="D77" s="1">
        <v>0</v>
      </c>
      <c r="E77" s="36">
        <v>450</v>
      </c>
      <c r="F77" s="41">
        <v>0.25</v>
      </c>
      <c r="G77" s="348">
        <f t="shared" si="0"/>
        <v>600</v>
      </c>
      <c r="H77" s="348">
        <v>25</v>
      </c>
      <c r="I77" s="83">
        <v>0.15</v>
      </c>
      <c r="J77" s="79">
        <f t="shared" si="1"/>
        <v>28.749999999999996</v>
      </c>
      <c r="K77" s="349">
        <f t="shared" si="2"/>
        <v>0</v>
      </c>
      <c r="L77" s="350">
        <f t="shared" si="3"/>
        <v>628.75</v>
      </c>
      <c r="M77" s="351">
        <f t="shared" si="4"/>
        <v>0</v>
      </c>
      <c r="N77" s="258"/>
      <c r="O77" s="258"/>
    </row>
    <row r="78" spans="1:15" ht="14.15" customHeight="1" x14ac:dyDescent="0.3">
      <c r="A78" s="341" t="s">
        <v>157</v>
      </c>
      <c r="B78" s="443" t="s">
        <v>158</v>
      </c>
      <c r="C78" s="29" t="s">
        <v>108</v>
      </c>
      <c r="D78" s="1">
        <f>60 + N("20m to each sub DB on second floor")</f>
        <v>60</v>
      </c>
      <c r="E78" s="36">
        <v>380</v>
      </c>
      <c r="F78" s="41">
        <v>0.25</v>
      </c>
      <c r="G78" s="348">
        <f t="shared" si="0"/>
        <v>506.66666666666669</v>
      </c>
      <c r="H78" s="348">
        <v>25</v>
      </c>
      <c r="I78" s="83">
        <v>0.15</v>
      </c>
      <c r="J78" s="79">
        <f t="shared" si="1"/>
        <v>28.749999999999996</v>
      </c>
      <c r="K78" s="349">
        <f t="shared" si="2"/>
        <v>1724.9999999999998</v>
      </c>
      <c r="L78" s="350">
        <f t="shared" si="3"/>
        <v>535.41666666666663</v>
      </c>
      <c r="M78" s="351">
        <f t="shared" si="4"/>
        <v>32124.999999999996</v>
      </c>
      <c r="N78" s="258"/>
      <c r="O78" s="258"/>
    </row>
    <row r="79" spans="1:15" ht="14.5" customHeight="1" thickBot="1" x14ac:dyDescent="0.35">
      <c r="A79" s="381" t="s">
        <v>159</v>
      </c>
      <c r="B79" s="446" t="s">
        <v>160</v>
      </c>
      <c r="C79" s="76" t="s">
        <v>108</v>
      </c>
      <c r="D79" s="50">
        <v>0</v>
      </c>
      <c r="E79" s="51">
        <f>215</f>
        <v>215</v>
      </c>
      <c r="F79" s="52">
        <v>0.25</v>
      </c>
      <c r="G79" s="376">
        <f t="shared" si="0"/>
        <v>286.66666666666669</v>
      </c>
      <c r="H79" s="376">
        <v>25</v>
      </c>
      <c r="I79" s="83">
        <v>0.15</v>
      </c>
      <c r="J79" s="79">
        <f t="shared" si="1"/>
        <v>28.749999999999996</v>
      </c>
      <c r="K79" s="349">
        <f t="shared" si="2"/>
        <v>0</v>
      </c>
      <c r="L79" s="350">
        <f t="shared" si="3"/>
        <v>315.41666666666669</v>
      </c>
      <c r="M79" s="378">
        <f t="shared" si="4"/>
        <v>0</v>
      </c>
      <c r="N79" s="258"/>
      <c r="O79" s="258"/>
    </row>
    <row r="80" spans="1:15" ht="14.5" customHeight="1" thickBot="1" x14ac:dyDescent="0.35">
      <c r="A80" s="397"/>
      <c r="B80" s="449"/>
      <c r="C80" s="71"/>
      <c r="D80" s="72"/>
      <c r="E80" s="73"/>
      <c r="F80" s="74"/>
      <c r="G80" s="356"/>
      <c r="H80" s="356"/>
      <c r="I80" s="73"/>
      <c r="J80" s="73"/>
      <c r="K80" s="357"/>
      <c r="L80" s="358"/>
      <c r="M80" s="358"/>
      <c r="N80" s="258"/>
      <c r="O80" s="258"/>
    </row>
    <row r="81" spans="1:15" ht="14.15" customHeight="1" x14ac:dyDescent="0.3">
      <c r="A81" s="359">
        <v>2.12</v>
      </c>
      <c r="B81" s="450"/>
      <c r="C81" s="75"/>
      <c r="D81" s="58" t="s">
        <v>161</v>
      </c>
      <c r="E81" s="56"/>
      <c r="F81" s="57"/>
      <c r="G81" s="361"/>
      <c r="H81" s="361"/>
      <c r="I81" s="56"/>
      <c r="J81" s="56"/>
      <c r="K81" s="362"/>
      <c r="L81" s="363"/>
      <c r="M81" s="363"/>
      <c r="N81" s="258"/>
      <c r="O81" s="258"/>
    </row>
    <row r="82" spans="1:15" ht="14.15" customHeight="1" x14ac:dyDescent="0.3">
      <c r="A82" s="341"/>
      <c r="B82" s="444"/>
      <c r="C82" s="29"/>
      <c r="D82" s="1"/>
      <c r="E82" s="36"/>
      <c r="F82" s="41"/>
      <c r="G82" s="348"/>
      <c r="H82" s="348"/>
      <c r="I82" s="79"/>
      <c r="J82" s="79"/>
      <c r="K82" s="349"/>
      <c r="L82" s="350"/>
      <c r="M82" s="351"/>
      <c r="N82" s="258"/>
      <c r="O82" s="258"/>
    </row>
    <row r="83" spans="1:15" ht="14.15" customHeight="1" x14ac:dyDescent="0.3">
      <c r="A83" s="341" t="s">
        <v>162</v>
      </c>
      <c r="B83" s="443" t="s">
        <v>163</v>
      </c>
      <c r="C83" s="29" t="s">
        <v>108</v>
      </c>
      <c r="D83" s="1">
        <f>8 +N("Wiring of AC-In DB")</f>
        <v>8</v>
      </c>
      <c r="E83" s="36">
        <v>109.45</v>
      </c>
      <c r="F83" s="41">
        <v>0.2</v>
      </c>
      <c r="G83" s="348">
        <f>E83/(1-F83)</f>
        <v>136.8125</v>
      </c>
      <c r="H83" s="348">
        <v>50</v>
      </c>
      <c r="I83" s="83">
        <v>0.15</v>
      </c>
      <c r="J83" s="79">
        <f>H83*(1+I83)</f>
        <v>57.499999999999993</v>
      </c>
      <c r="K83" s="349">
        <f>J83*D83</f>
        <v>459.99999999999994</v>
      </c>
      <c r="L83" s="350">
        <f>G83+J83</f>
        <v>194.3125</v>
      </c>
      <c r="M83" s="351">
        <f>D83*L83</f>
        <v>1554.5</v>
      </c>
      <c r="N83" s="258"/>
      <c r="O83" s="258"/>
    </row>
    <row r="84" spans="1:15" ht="14.15" customHeight="1" x14ac:dyDescent="0.3">
      <c r="A84" s="341"/>
      <c r="B84" s="443" t="s">
        <v>164</v>
      </c>
      <c r="C84" s="29" t="s">
        <v>108</v>
      </c>
      <c r="D84" s="1">
        <v>0</v>
      </c>
      <c r="E84" s="36">
        <v>70.599999999999994</v>
      </c>
      <c r="F84" s="41">
        <v>0.2</v>
      </c>
      <c r="G84" s="348">
        <f>E84/(1-F84)</f>
        <v>88.249999999999986</v>
      </c>
      <c r="H84" s="348">
        <v>50</v>
      </c>
      <c r="I84" s="83">
        <v>0.15</v>
      </c>
      <c r="J84" s="79">
        <f>H84*(1+I84)</f>
        <v>57.499999999999993</v>
      </c>
      <c r="K84" s="349">
        <f>J84*D84</f>
        <v>0</v>
      </c>
      <c r="L84" s="350">
        <f>G84+J84</f>
        <v>145.74999999999997</v>
      </c>
      <c r="M84" s="351">
        <f>D84*L84</f>
        <v>0</v>
      </c>
      <c r="N84" s="258"/>
      <c r="O84" s="258"/>
    </row>
    <row r="85" spans="1:15" ht="14.5" customHeight="1" thickBot="1" x14ac:dyDescent="0.35">
      <c r="A85" s="381"/>
      <c r="B85" s="446" t="s">
        <v>165</v>
      </c>
      <c r="C85" s="76" t="s">
        <v>108</v>
      </c>
      <c r="D85" s="50">
        <f>12 + N("2m per 6 DB")</f>
        <v>12</v>
      </c>
      <c r="E85" s="51">
        <v>22.91</v>
      </c>
      <c r="F85" s="52">
        <v>0.2</v>
      </c>
      <c r="G85" s="376">
        <f>E85/(1-F85)</f>
        <v>28.637499999999999</v>
      </c>
      <c r="H85" s="376">
        <v>50</v>
      </c>
      <c r="I85" s="83">
        <v>0.15</v>
      </c>
      <c r="J85" s="79">
        <f>H85*(1+I85)</f>
        <v>57.499999999999993</v>
      </c>
      <c r="K85" s="349">
        <f>J85*D85</f>
        <v>689.99999999999989</v>
      </c>
      <c r="L85" s="350">
        <f>G85+J85</f>
        <v>86.137499999999989</v>
      </c>
      <c r="M85" s="378">
        <f>D85*L85</f>
        <v>1033.6499999999999</v>
      </c>
      <c r="N85" s="258"/>
      <c r="O85" s="258"/>
    </row>
    <row r="86" spans="1:15" ht="14.5" customHeight="1" thickBot="1" x14ac:dyDescent="0.35">
      <c r="A86" s="397"/>
      <c r="B86" s="449"/>
      <c r="C86" s="71"/>
      <c r="D86" s="72"/>
      <c r="E86" s="73"/>
      <c r="F86" s="74"/>
      <c r="G86" s="356"/>
      <c r="H86" s="356"/>
      <c r="I86" s="73"/>
      <c r="J86" s="73"/>
      <c r="K86" s="357"/>
      <c r="L86" s="358"/>
      <c r="M86" s="358"/>
      <c r="N86" s="258"/>
      <c r="O86" s="258"/>
    </row>
    <row r="87" spans="1:15" ht="14.15" customHeight="1" x14ac:dyDescent="0.3">
      <c r="A87" s="359">
        <v>2.13</v>
      </c>
      <c r="B87" s="450"/>
      <c r="C87" s="75"/>
      <c r="D87" s="58" t="s">
        <v>166</v>
      </c>
      <c r="E87" s="56"/>
      <c r="F87" s="57"/>
      <c r="G87" s="361"/>
      <c r="H87" s="361"/>
      <c r="I87" s="56"/>
      <c r="J87" s="56"/>
      <c r="K87" s="362"/>
      <c r="L87" s="363"/>
      <c r="M87" s="363"/>
      <c r="N87" s="258"/>
      <c r="O87" s="258"/>
    </row>
    <row r="88" spans="1:15" ht="14.15" customHeight="1" x14ac:dyDescent="0.3">
      <c r="A88" s="341"/>
      <c r="B88" s="444"/>
      <c r="C88" s="29"/>
      <c r="D88" s="1"/>
      <c r="E88" s="36"/>
      <c r="F88" s="41"/>
      <c r="G88" s="348"/>
      <c r="H88" s="348"/>
      <c r="I88" s="79"/>
      <c r="J88" s="79"/>
      <c r="K88" s="349"/>
      <c r="L88" s="350"/>
      <c r="M88" s="351"/>
      <c r="N88" s="258"/>
      <c r="O88" s="258"/>
    </row>
    <row r="89" spans="1:15" ht="14.15" customHeight="1" x14ac:dyDescent="0.3">
      <c r="A89" s="341" t="s">
        <v>167</v>
      </c>
      <c r="B89" s="443" t="s">
        <v>168</v>
      </c>
      <c r="C89" s="29" t="s">
        <v>108</v>
      </c>
      <c r="D89" s="1">
        <v>0</v>
      </c>
      <c r="E89" s="36">
        <v>25</v>
      </c>
      <c r="F89" s="41">
        <v>0.2</v>
      </c>
      <c r="G89" s="348">
        <f>E89/(1-F89)</f>
        <v>31.25</v>
      </c>
      <c r="H89" s="348"/>
      <c r="I89" s="83">
        <v>0.15</v>
      </c>
      <c r="J89" s="79">
        <f>H89*(1+I89)</f>
        <v>0</v>
      </c>
      <c r="K89" s="349">
        <f>J89*D89</f>
        <v>0</v>
      </c>
      <c r="L89" s="350">
        <f>G89+J89</f>
        <v>31.25</v>
      </c>
      <c r="M89" s="351">
        <f>D89*L89</f>
        <v>0</v>
      </c>
      <c r="N89" s="258"/>
      <c r="O89" s="258"/>
    </row>
    <row r="90" spans="1:15" ht="14.15" customHeight="1" x14ac:dyDescent="0.3">
      <c r="A90" s="341" t="s">
        <v>169</v>
      </c>
      <c r="B90" s="443" t="s">
        <v>170</v>
      </c>
      <c r="C90" s="29" t="s">
        <v>108</v>
      </c>
      <c r="D90" s="1">
        <v>0</v>
      </c>
      <c r="E90" s="36">
        <v>33</v>
      </c>
      <c r="F90" s="41">
        <v>0.2</v>
      </c>
      <c r="G90" s="348">
        <f>E90/(1-F90)</f>
        <v>41.25</v>
      </c>
      <c r="H90" s="348"/>
      <c r="I90" s="83">
        <v>0.15</v>
      </c>
      <c r="J90" s="79">
        <f>H90*(1+I90)</f>
        <v>0</v>
      </c>
      <c r="K90" s="349">
        <f>J90*D90</f>
        <v>0</v>
      </c>
      <c r="L90" s="350">
        <f>G90+J90</f>
        <v>41.25</v>
      </c>
      <c r="M90" s="351">
        <f>D90*L90</f>
        <v>0</v>
      </c>
      <c r="N90" s="258"/>
      <c r="O90" s="258"/>
    </row>
    <row r="91" spans="1:15" ht="14.5" customHeight="1" thickBot="1" x14ac:dyDescent="0.35">
      <c r="A91" s="341" t="s">
        <v>171</v>
      </c>
      <c r="B91" s="451" t="s">
        <v>172</v>
      </c>
      <c r="C91" s="29" t="s">
        <v>108</v>
      </c>
      <c r="D91" s="1">
        <v>0</v>
      </c>
      <c r="E91" s="36">
        <v>37</v>
      </c>
      <c r="F91" s="41">
        <v>0.2</v>
      </c>
      <c r="G91" s="348">
        <f>E91/(1-F91)</f>
        <v>46.25</v>
      </c>
      <c r="H91" s="348"/>
      <c r="I91" s="83">
        <v>0.15</v>
      </c>
      <c r="J91" s="79">
        <f>H91*(1+I91)</f>
        <v>0</v>
      </c>
      <c r="K91" s="349">
        <f>J91*D91</f>
        <v>0</v>
      </c>
      <c r="L91" s="350">
        <f>G91+J91</f>
        <v>46.25</v>
      </c>
      <c r="M91" s="351">
        <f>D91*L91</f>
        <v>0</v>
      </c>
      <c r="N91" s="258"/>
      <c r="O91" s="258"/>
    </row>
    <row r="92" spans="1:15" ht="14.5" customHeight="1" thickBot="1" x14ac:dyDescent="0.35">
      <c r="A92" s="397"/>
      <c r="B92" s="449"/>
      <c r="C92" s="71"/>
      <c r="D92" s="72"/>
      <c r="E92" s="73"/>
      <c r="F92" s="74"/>
      <c r="G92" s="356"/>
      <c r="H92" s="356"/>
      <c r="I92" s="73"/>
      <c r="J92" s="73"/>
      <c r="K92" s="357"/>
      <c r="L92" s="358"/>
      <c r="M92" s="358"/>
      <c r="N92" s="258"/>
      <c r="O92" s="258"/>
    </row>
    <row r="93" spans="1:15" s="297" customFormat="1" ht="14.15" customHeight="1" x14ac:dyDescent="0.3">
      <c r="A93" s="402">
        <v>2.14</v>
      </c>
      <c r="B93" s="452"/>
      <c r="C93" s="78"/>
      <c r="D93" s="65" t="s">
        <v>173</v>
      </c>
      <c r="E93" s="53"/>
      <c r="F93" s="54"/>
      <c r="G93" s="391"/>
      <c r="H93" s="391"/>
      <c r="I93" s="53"/>
      <c r="J93" s="53"/>
      <c r="K93" s="392"/>
      <c r="L93" s="393"/>
      <c r="M93" s="393"/>
      <c r="N93" s="258"/>
      <c r="O93" s="258"/>
    </row>
    <row r="94" spans="1:15" s="297" customFormat="1" ht="14.15" customHeight="1" x14ac:dyDescent="0.3">
      <c r="A94" s="341"/>
      <c r="B94" s="444"/>
      <c r="C94" s="29"/>
      <c r="D94" s="1"/>
      <c r="E94" s="36"/>
      <c r="F94" s="41"/>
      <c r="G94" s="348"/>
      <c r="H94" s="348"/>
      <c r="I94" s="79"/>
      <c r="J94" s="79"/>
      <c r="K94" s="349"/>
      <c r="L94" s="350"/>
      <c r="M94" s="351"/>
      <c r="N94" s="258"/>
      <c r="O94" s="258"/>
    </row>
    <row r="95" spans="1:15" s="297" customFormat="1" ht="28" customHeight="1" x14ac:dyDescent="0.3">
      <c r="A95" s="341"/>
      <c r="B95" s="443" t="s">
        <v>174</v>
      </c>
      <c r="C95" s="29"/>
      <c r="D95" s="1"/>
      <c r="E95" s="36"/>
      <c r="F95" s="41"/>
      <c r="G95" s="348"/>
      <c r="H95" s="348"/>
      <c r="I95" s="79"/>
      <c r="J95" s="79"/>
      <c r="K95" s="349"/>
      <c r="L95" s="350"/>
      <c r="M95" s="351"/>
      <c r="N95" s="258"/>
      <c r="O95" s="258"/>
    </row>
    <row r="96" spans="1:15" s="297" customFormat="1" ht="14.15" customHeight="1" x14ac:dyDescent="0.3">
      <c r="A96" s="384"/>
      <c r="B96" s="443"/>
      <c r="C96" s="29"/>
      <c r="D96" s="1"/>
      <c r="E96" s="36"/>
      <c r="F96" s="41"/>
      <c r="G96" s="348"/>
      <c r="H96" s="348"/>
      <c r="I96" s="79"/>
      <c r="J96" s="79"/>
      <c r="K96" s="349"/>
      <c r="L96" s="350"/>
      <c r="M96" s="351"/>
      <c r="N96" s="258"/>
      <c r="O96" s="258"/>
    </row>
    <row r="97" spans="1:15" s="297" customFormat="1" ht="14.15" customHeight="1" x14ac:dyDescent="0.3">
      <c r="A97" s="341" t="s">
        <v>175</v>
      </c>
      <c r="B97" s="443" t="s">
        <v>150</v>
      </c>
      <c r="C97" s="29" t="s">
        <v>85</v>
      </c>
      <c r="D97" s="1">
        <v>0</v>
      </c>
      <c r="E97" s="36">
        <f>752.54*1.1</f>
        <v>827.79399999999998</v>
      </c>
      <c r="F97" s="41">
        <v>0.2</v>
      </c>
      <c r="G97" s="348">
        <f t="shared" ref="G97:G107" si="5">E97/(1-F97)</f>
        <v>1034.7424999999998</v>
      </c>
      <c r="H97" s="348">
        <f>(250+100)*1.5</f>
        <v>525</v>
      </c>
      <c r="I97" s="83">
        <v>0.15</v>
      </c>
      <c r="J97" s="79">
        <f t="shared" ref="J97:J107" si="6">H97*(1+I97)</f>
        <v>603.75</v>
      </c>
      <c r="K97" s="349">
        <f t="shared" ref="K97:K107" si="7">J97*D97</f>
        <v>0</v>
      </c>
      <c r="L97" s="350">
        <f t="shared" ref="L97:L107" si="8">G97+J97</f>
        <v>1638.4924999999998</v>
      </c>
      <c r="M97" s="351">
        <f t="shared" ref="M97:M107" si="9">D97*L97</f>
        <v>0</v>
      </c>
      <c r="N97" s="258"/>
      <c r="O97" s="258"/>
    </row>
    <row r="98" spans="1:15" s="297" customFormat="1" ht="14.15" customHeight="1" x14ac:dyDescent="0.3">
      <c r="A98" s="341" t="s">
        <v>176</v>
      </c>
      <c r="B98" s="443" t="s">
        <v>177</v>
      </c>
      <c r="C98" s="29" t="s">
        <v>85</v>
      </c>
      <c r="D98" s="1">
        <v>0</v>
      </c>
      <c r="E98" s="36">
        <f>350*1.1</f>
        <v>385.00000000000006</v>
      </c>
      <c r="F98" s="41">
        <v>0.2</v>
      </c>
      <c r="G98" s="348">
        <f t="shared" si="5"/>
        <v>481.25000000000006</v>
      </c>
      <c r="H98" s="348">
        <f>(250+100)*1.5</f>
        <v>525</v>
      </c>
      <c r="I98" s="83">
        <v>0.15</v>
      </c>
      <c r="J98" s="79">
        <f t="shared" si="6"/>
        <v>603.75</v>
      </c>
      <c r="K98" s="349">
        <f t="shared" si="7"/>
        <v>0</v>
      </c>
      <c r="L98" s="350">
        <f t="shared" si="8"/>
        <v>1085</v>
      </c>
      <c r="M98" s="351">
        <f t="shared" si="9"/>
        <v>0</v>
      </c>
      <c r="N98" s="258"/>
      <c r="O98" s="258"/>
    </row>
    <row r="99" spans="1:15" s="297" customFormat="1" ht="14.15" customHeight="1" x14ac:dyDescent="0.3">
      <c r="A99" s="341" t="s">
        <v>178</v>
      </c>
      <c r="B99" s="443" t="s">
        <v>152</v>
      </c>
      <c r="C99" s="29" t="s">
        <v>85</v>
      </c>
      <c r="D99" s="1">
        <v>0</v>
      </c>
      <c r="E99" s="36">
        <v>550</v>
      </c>
      <c r="F99" s="41">
        <v>0.2</v>
      </c>
      <c r="G99" s="348">
        <f t="shared" si="5"/>
        <v>687.5</v>
      </c>
      <c r="H99" s="348">
        <f>(250+100)*1.5</f>
        <v>525</v>
      </c>
      <c r="I99" s="83">
        <v>0.15</v>
      </c>
      <c r="J99" s="79">
        <f t="shared" si="6"/>
        <v>603.75</v>
      </c>
      <c r="K99" s="349">
        <f t="shared" si="7"/>
        <v>0</v>
      </c>
      <c r="L99" s="350">
        <f t="shared" si="8"/>
        <v>1291.25</v>
      </c>
      <c r="M99" s="351">
        <f t="shared" si="9"/>
        <v>0</v>
      </c>
      <c r="N99" s="258"/>
      <c r="O99" s="258"/>
    </row>
    <row r="100" spans="1:15" s="297" customFormat="1" ht="14.15" customHeight="1" x14ac:dyDescent="0.3">
      <c r="A100" s="341" t="s">
        <v>179</v>
      </c>
      <c r="B100" s="443" t="s">
        <v>154</v>
      </c>
      <c r="C100" s="29" t="s">
        <v>85</v>
      </c>
      <c r="D100" s="1">
        <v>8</v>
      </c>
      <c r="E100" s="36">
        <v>350</v>
      </c>
      <c r="F100" s="41">
        <v>0.2</v>
      </c>
      <c r="G100" s="348">
        <f t="shared" si="5"/>
        <v>437.5</v>
      </c>
      <c r="H100" s="348">
        <v>525</v>
      </c>
      <c r="I100" s="83">
        <v>0.15</v>
      </c>
      <c r="J100" s="79">
        <f t="shared" si="6"/>
        <v>603.75</v>
      </c>
      <c r="K100" s="349">
        <f t="shared" si="7"/>
        <v>4830</v>
      </c>
      <c r="L100" s="350">
        <f t="shared" si="8"/>
        <v>1041.25</v>
      </c>
      <c r="M100" s="351">
        <f t="shared" si="9"/>
        <v>8330</v>
      </c>
      <c r="N100" s="258"/>
      <c r="O100" s="258"/>
    </row>
    <row r="101" spans="1:15" s="297" customFormat="1" ht="14.5" customHeight="1" x14ac:dyDescent="0.3">
      <c r="A101" s="341" t="s">
        <v>180</v>
      </c>
      <c r="B101" s="443" t="s">
        <v>156</v>
      </c>
      <c r="C101" s="29" t="s">
        <v>85</v>
      </c>
      <c r="D101" s="1">
        <v>0</v>
      </c>
      <c r="E101" s="36"/>
      <c r="F101" s="41"/>
      <c r="G101" s="348">
        <f t="shared" si="5"/>
        <v>0</v>
      </c>
      <c r="H101" s="348">
        <v>525</v>
      </c>
      <c r="I101" s="83">
        <v>0.15</v>
      </c>
      <c r="J101" s="79">
        <f t="shared" si="6"/>
        <v>603.75</v>
      </c>
      <c r="K101" s="349">
        <f t="shared" si="7"/>
        <v>0</v>
      </c>
      <c r="L101" s="350">
        <f t="shared" si="8"/>
        <v>603.75</v>
      </c>
      <c r="M101" s="351">
        <f t="shared" si="9"/>
        <v>0</v>
      </c>
      <c r="N101" s="258"/>
      <c r="O101" s="258"/>
    </row>
    <row r="102" spans="1:15" s="297" customFormat="1" ht="14.15" customHeight="1" x14ac:dyDescent="0.3">
      <c r="A102" s="341" t="s">
        <v>181</v>
      </c>
      <c r="B102" s="443" t="s">
        <v>158</v>
      </c>
      <c r="C102" s="29" t="s">
        <v>85</v>
      </c>
      <c r="D102" s="1">
        <v>0</v>
      </c>
      <c r="E102" s="36">
        <v>350</v>
      </c>
      <c r="F102" s="41">
        <v>0.2</v>
      </c>
      <c r="G102" s="348">
        <f t="shared" si="5"/>
        <v>437.5</v>
      </c>
      <c r="H102" s="348">
        <v>525</v>
      </c>
      <c r="I102" s="83">
        <v>0.15</v>
      </c>
      <c r="J102" s="79">
        <f t="shared" si="6"/>
        <v>603.75</v>
      </c>
      <c r="K102" s="349">
        <f t="shared" si="7"/>
        <v>0</v>
      </c>
      <c r="L102" s="350">
        <f t="shared" si="8"/>
        <v>1041.25</v>
      </c>
      <c r="M102" s="351">
        <f t="shared" si="9"/>
        <v>0</v>
      </c>
      <c r="N102" s="258"/>
      <c r="O102" s="258"/>
    </row>
    <row r="103" spans="1:15" s="297" customFormat="1" ht="14.15" customHeight="1" x14ac:dyDescent="0.3">
      <c r="A103" s="341" t="s">
        <v>182</v>
      </c>
      <c r="B103" s="443" t="s">
        <v>160</v>
      </c>
      <c r="C103" s="29" t="s">
        <v>85</v>
      </c>
      <c r="D103" s="1">
        <v>0</v>
      </c>
      <c r="E103" s="36">
        <v>350</v>
      </c>
      <c r="F103" s="41">
        <v>0.2</v>
      </c>
      <c r="G103" s="348">
        <f t="shared" si="5"/>
        <v>437.5</v>
      </c>
      <c r="H103" s="348">
        <v>525</v>
      </c>
      <c r="I103" s="83">
        <v>0.15</v>
      </c>
      <c r="J103" s="79">
        <f t="shared" si="6"/>
        <v>603.75</v>
      </c>
      <c r="K103" s="349">
        <f t="shared" si="7"/>
        <v>0</v>
      </c>
      <c r="L103" s="350">
        <f t="shared" si="8"/>
        <v>1041.25</v>
      </c>
      <c r="M103" s="351">
        <f t="shared" si="9"/>
        <v>0</v>
      </c>
      <c r="N103" s="258"/>
      <c r="O103" s="258"/>
    </row>
    <row r="104" spans="1:15" s="297" customFormat="1" ht="14.15" customHeight="1" x14ac:dyDescent="0.3">
      <c r="A104" s="341" t="s">
        <v>183</v>
      </c>
      <c r="B104" s="443" t="s">
        <v>184</v>
      </c>
      <c r="C104" s="29" t="s">
        <v>85</v>
      </c>
      <c r="D104" s="1">
        <v>0</v>
      </c>
      <c r="E104" s="36"/>
      <c r="F104" s="41"/>
      <c r="G104" s="348">
        <f t="shared" si="5"/>
        <v>0</v>
      </c>
      <c r="H104" s="348">
        <v>525</v>
      </c>
      <c r="I104" s="83">
        <v>0.15</v>
      </c>
      <c r="J104" s="79">
        <f t="shared" si="6"/>
        <v>603.75</v>
      </c>
      <c r="K104" s="349">
        <f t="shared" si="7"/>
        <v>0</v>
      </c>
      <c r="L104" s="350">
        <f t="shared" si="8"/>
        <v>603.75</v>
      </c>
      <c r="M104" s="351">
        <f t="shared" si="9"/>
        <v>0</v>
      </c>
      <c r="N104" s="258"/>
      <c r="O104" s="258"/>
    </row>
    <row r="105" spans="1:15" s="297" customFormat="1" ht="14.15" customHeight="1" x14ac:dyDescent="0.3">
      <c r="A105" s="341" t="s">
        <v>185</v>
      </c>
      <c r="B105" s="443" t="s">
        <v>186</v>
      </c>
      <c r="C105" s="29" t="s">
        <v>85</v>
      </c>
      <c r="D105" s="1">
        <v>0</v>
      </c>
      <c r="E105" s="36">
        <v>250</v>
      </c>
      <c r="F105" s="41">
        <v>0.2</v>
      </c>
      <c r="G105" s="348">
        <f t="shared" si="5"/>
        <v>312.5</v>
      </c>
      <c r="H105" s="348">
        <v>525</v>
      </c>
      <c r="I105" s="83">
        <v>0.15</v>
      </c>
      <c r="J105" s="79">
        <f t="shared" si="6"/>
        <v>603.75</v>
      </c>
      <c r="K105" s="349">
        <f t="shared" si="7"/>
        <v>0</v>
      </c>
      <c r="L105" s="350">
        <f t="shared" si="8"/>
        <v>916.25</v>
      </c>
      <c r="M105" s="351">
        <f t="shared" si="9"/>
        <v>0</v>
      </c>
      <c r="N105" s="258"/>
      <c r="O105" s="258"/>
    </row>
    <row r="106" spans="1:15" s="297" customFormat="1" ht="14.15" customHeight="1" x14ac:dyDescent="0.3">
      <c r="A106" s="341" t="s">
        <v>187</v>
      </c>
      <c r="B106" s="443" t="s">
        <v>188</v>
      </c>
      <c r="C106" s="29" t="s">
        <v>85</v>
      </c>
      <c r="D106" s="1">
        <v>6</v>
      </c>
      <c r="E106" s="36">
        <v>500</v>
      </c>
      <c r="F106" s="41">
        <v>0.2</v>
      </c>
      <c r="G106" s="348">
        <f t="shared" si="5"/>
        <v>625</v>
      </c>
      <c r="H106" s="348">
        <v>525</v>
      </c>
      <c r="I106" s="83">
        <v>0.15</v>
      </c>
      <c r="J106" s="79">
        <f t="shared" si="6"/>
        <v>603.75</v>
      </c>
      <c r="K106" s="349">
        <f t="shared" si="7"/>
        <v>3622.5</v>
      </c>
      <c r="L106" s="350">
        <f t="shared" si="8"/>
        <v>1228.75</v>
      </c>
      <c r="M106" s="351">
        <f t="shared" si="9"/>
        <v>7372.5</v>
      </c>
      <c r="N106" s="258"/>
      <c r="O106" s="258"/>
    </row>
    <row r="107" spans="1:15" s="297" customFormat="1" ht="14.5" customHeight="1" thickBot="1" x14ac:dyDescent="0.35">
      <c r="A107" s="381" t="s">
        <v>189</v>
      </c>
      <c r="B107" s="446" t="s">
        <v>190</v>
      </c>
      <c r="C107" s="76" t="s">
        <v>85</v>
      </c>
      <c r="D107" s="50">
        <v>0</v>
      </c>
      <c r="E107" s="51">
        <v>500</v>
      </c>
      <c r="F107" s="52">
        <v>0.2</v>
      </c>
      <c r="G107" s="376">
        <f t="shared" si="5"/>
        <v>625</v>
      </c>
      <c r="H107" s="376">
        <v>525</v>
      </c>
      <c r="I107" s="84">
        <v>0.15</v>
      </c>
      <c r="J107" s="80">
        <f t="shared" si="6"/>
        <v>603.75</v>
      </c>
      <c r="K107" s="382">
        <f t="shared" si="7"/>
        <v>0</v>
      </c>
      <c r="L107" s="350">
        <f t="shared" si="8"/>
        <v>1228.75</v>
      </c>
      <c r="M107" s="378">
        <f t="shared" si="9"/>
        <v>0</v>
      </c>
      <c r="N107" s="258"/>
      <c r="O107" s="258"/>
    </row>
    <row r="108" spans="1:15" s="297" customFormat="1" ht="14.5" customHeight="1" thickBot="1" x14ac:dyDescent="0.35">
      <c r="A108" s="404"/>
      <c r="B108" s="453"/>
      <c r="C108" s="29"/>
      <c r="D108" s="1"/>
      <c r="E108" s="36"/>
      <c r="F108" s="41"/>
      <c r="G108" s="348"/>
      <c r="H108" s="348"/>
      <c r="I108" s="79"/>
      <c r="J108" s="79"/>
      <c r="K108" s="406"/>
      <c r="L108" s="350"/>
      <c r="M108" s="351"/>
      <c r="N108" s="258"/>
      <c r="O108" s="258"/>
    </row>
    <row r="109" spans="1:15" ht="14.15" customHeight="1" x14ac:dyDescent="0.3">
      <c r="A109" s="359">
        <v>2.15</v>
      </c>
      <c r="B109" s="450"/>
      <c r="C109" s="75"/>
      <c r="D109" s="58" t="s">
        <v>191</v>
      </c>
      <c r="E109" s="56"/>
      <c r="F109" s="57"/>
      <c r="G109" s="361"/>
      <c r="H109" s="361"/>
      <c r="I109" s="56"/>
      <c r="J109" s="56"/>
      <c r="K109" s="362"/>
      <c r="L109" s="363"/>
      <c r="M109" s="363"/>
      <c r="N109" s="258"/>
      <c r="O109" s="258"/>
    </row>
    <row r="110" spans="1:15" ht="14.15" customHeight="1" x14ac:dyDescent="0.3">
      <c r="A110" s="341"/>
      <c r="B110" s="444"/>
      <c r="C110" s="29"/>
      <c r="D110" s="1"/>
      <c r="E110" s="36"/>
      <c r="F110" s="41"/>
      <c r="G110" s="348"/>
      <c r="H110" s="348"/>
      <c r="I110" s="79"/>
      <c r="J110" s="79"/>
      <c r="K110" s="349"/>
      <c r="L110" s="350"/>
      <c r="M110" s="351"/>
      <c r="N110" s="258"/>
      <c r="O110" s="258"/>
    </row>
    <row r="111" spans="1:15" ht="28" customHeight="1" x14ac:dyDescent="0.3">
      <c r="A111" s="341"/>
      <c r="B111" s="443" t="s">
        <v>192</v>
      </c>
      <c r="C111" s="29"/>
      <c r="D111" s="1"/>
      <c r="E111" s="36"/>
      <c r="F111" s="41"/>
      <c r="G111" s="348"/>
      <c r="H111" s="348"/>
      <c r="I111" s="79"/>
      <c r="J111" s="79"/>
      <c r="K111" s="349"/>
      <c r="L111" s="350"/>
      <c r="M111" s="351"/>
      <c r="N111" s="258"/>
      <c r="O111" s="258"/>
    </row>
    <row r="112" spans="1:15" ht="14.15" customHeight="1" x14ac:dyDescent="0.3">
      <c r="A112" s="384"/>
      <c r="B112" s="443"/>
      <c r="C112" s="29"/>
      <c r="D112" s="1"/>
      <c r="E112" s="36"/>
      <c r="F112" s="41"/>
      <c r="G112" s="348"/>
      <c r="H112" s="348"/>
      <c r="I112" s="79"/>
      <c r="J112" s="79"/>
      <c r="K112" s="349"/>
      <c r="L112" s="350"/>
      <c r="M112" s="351"/>
      <c r="N112" s="258"/>
      <c r="O112" s="258"/>
    </row>
    <row r="113" spans="1:15" ht="14.15" customHeight="1" x14ac:dyDescent="0.3">
      <c r="A113" s="341" t="s">
        <v>193</v>
      </c>
      <c r="B113" s="443" t="s">
        <v>194</v>
      </c>
      <c r="C113" s="29" t="s">
        <v>108</v>
      </c>
      <c r="D113" s="1">
        <v>0</v>
      </c>
      <c r="E113" s="36">
        <f>132*(15+10+10)</f>
        <v>4620</v>
      </c>
      <c r="F113" s="41">
        <v>0.2</v>
      </c>
      <c r="G113" s="348">
        <f>E113/(1-F113)</f>
        <v>5775</v>
      </c>
      <c r="H113" s="348">
        <f>9*(15+10+10)</f>
        <v>315</v>
      </c>
      <c r="I113" s="83">
        <v>0.15</v>
      </c>
      <c r="J113" s="79">
        <f>H113*(1+I113)</f>
        <v>362.25</v>
      </c>
      <c r="K113" s="349">
        <f>J113*D113</f>
        <v>0</v>
      </c>
      <c r="L113" s="350">
        <f>G113+J113</f>
        <v>6137.25</v>
      </c>
      <c r="M113" s="351">
        <f>D113*L113</f>
        <v>0</v>
      </c>
      <c r="N113" s="258"/>
      <c r="O113" s="258"/>
    </row>
    <row r="114" spans="1:15" ht="14.5" customHeight="1" thickBot="1" x14ac:dyDescent="0.35">
      <c r="A114" s="381" t="s">
        <v>195</v>
      </c>
      <c r="B114" s="446" t="s">
        <v>196</v>
      </c>
      <c r="C114" s="76" t="s">
        <v>108</v>
      </c>
      <c r="D114" s="50">
        <f>145 + N("total cabling")</f>
        <v>145</v>
      </c>
      <c r="E114" s="51">
        <f>30</f>
        <v>30</v>
      </c>
      <c r="F114" s="52">
        <v>0.2</v>
      </c>
      <c r="G114" s="376">
        <f>E114/(1-F114)</f>
        <v>37.5</v>
      </c>
      <c r="H114" s="376">
        <f>15</f>
        <v>15</v>
      </c>
      <c r="I114" s="84">
        <v>0.15</v>
      </c>
      <c r="J114" s="80">
        <f>H114*(1+I114)</f>
        <v>17.25</v>
      </c>
      <c r="K114" s="382">
        <f>J114*D114</f>
        <v>2501.25</v>
      </c>
      <c r="L114" s="407">
        <f>G114+J114</f>
        <v>54.75</v>
      </c>
      <c r="M114" s="378">
        <f>D114*L114</f>
        <v>7938.75</v>
      </c>
      <c r="N114" s="258"/>
      <c r="O114" s="258"/>
    </row>
    <row r="115" spans="1:15" ht="14.5" customHeight="1" thickBot="1" x14ac:dyDescent="0.35">
      <c r="A115" s="258"/>
      <c r="B115" s="453"/>
      <c r="C115" s="29"/>
      <c r="D115" s="1"/>
      <c r="E115" s="36"/>
      <c r="F115" s="41"/>
      <c r="G115" s="348"/>
      <c r="H115" s="348"/>
      <c r="I115" s="79"/>
      <c r="J115" s="79"/>
      <c r="K115" s="406"/>
      <c r="L115" s="350"/>
      <c r="M115" s="351"/>
      <c r="N115" s="258"/>
      <c r="O115" s="258"/>
    </row>
    <row r="116" spans="1:15" ht="14.15" customHeight="1" x14ac:dyDescent="0.3">
      <c r="A116" s="359">
        <v>2.16</v>
      </c>
      <c r="B116" s="450"/>
      <c r="C116" s="75"/>
      <c r="D116" s="58" t="s">
        <v>197</v>
      </c>
      <c r="E116" s="56"/>
      <c r="F116" s="57"/>
      <c r="G116" s="361"/>
      <c r="H116" s="361"/>
      <c r="I116" s="56"/>
      <c r="J116" s="56"/>
      <c r="K116" s="362"/>
      <c r="L116" s="363"/>
      <c r="M116" s="363"/>
      <c r="N116" s="258"/>
      <c r="O116" s="258"/>
    </row>
    <row r="117" spans="1:15" ht="14.15" customHeight="1" x14ac:dyDescent="0.3">
      <c r="A117" s="341"/>
      <c r="B117" s="444"/>
      <c r="C117" s="29"/>
      <c r="D117" s="1"/>
      <c r="E117" s="36"/>
      <c r="F117" s="41"/>
      <c r="G117" s="348"/>
      <c r="H117" s="348"/>
      <c r="I117" s="79"/>
      <c r="J117" s="79"/>
      <c r="K117" s="349"/>
      <c r="L117" s="350"/>
      <c r="M117" s="351"/>
      <c r="N117" s="258"/>
      <c r="O117" s="258"/>
    </row>
    <row r="118" spans="1:15" ht="28.5" customHeight="1" thickBot="1" x14ac:dyDescent="0.35">
      <c r="A118" s="381" t="s">
        <v>198</v>
      </c>
      <c r="B118" s="446" t="s">
        <v>199</v>
      </c>
      <c r="C118" s="86" t="s">
        <v>108</v>
      </c>
      <c r="D118" s="50">
        <v>15</v>
      </c>
      <c r="E118" s="51">
        <v>5</v>
      </c>
      <c r="F118" s="52">
        <v>0.2</v>
      </c>
      <c r="G118" s="376">
        <f>E118/(1-F118)</f>
        <v>6.25</v>
      </c>
      <c r="H118" s="376">
        <f>(100*3)</f>
        <v>300</v>
      </c>
      <c r="I118" s="84">
        <v>0.15</v>
      </c>
      <c r="J118" s="80">
        <f>H118*(1+I118)</f>
        <v>345</v>
      </c>
      <c r="K118" s="382">
        <f>J118*D118</f>
        <v>5175</v>
      </c>
      <c r="L118" s="407">
        <f>G118+J118</f>
        <v>351.25</v>
      </c>
      <c r="M118" s="378">
        <f>D118*L118</f>
        <v>5268.75</v>
      </c>
      <c r="N118" s="258"/>
      <c r="O118" s="258"/>
    </row>
    <row r="119" spans="1:15" ht="13.4" customHeight="1" thickBot="1" x14ac:dyDescent="0.35">
      <c r="A119" s="404"/>
      <c r="B119" s="453"/>
      <c r="C119" s="29"/>
      <c r="D119" s="1"/>
      <c r="E119" s="36"/>
      <c r="F119" s="41"/>
      <c r="G119" s="348"/>
      <c r="H119" s="348"/>
      <c r="I119" s="79"/>
      <c r="J119" s="79"/>
      <c r="K119" s="406"/>
      <c r="L119" s="350"/>
      <c r="M119" s="351"/>
      <c r="N119" s="258"/>
      <c r="O119" s="258"/>
    </row>
    <row r="120" spans="1:15" ht="14.15" customHeight="1" x14ac:dyDescent="0.3">
      <c r="A120" s="359">
        <v>2.17</v>
      </c>
      <c r="B120" s="450"/>
      <c r="C120" s="75"/>
      <c r="D120" s="58" t="s">
        <v>200</v>
      </c>
      <c r="E120" s="56"/>
      <c r="F120" s="57"/>
      <c r="G120" s="361"/>
      <c r="H120" s="361"/>
      <c r="I120" s="56"/>
      <c r="J120" s="56"/>
      <c r="K120" s="362"/>
      <c r="L120" s="363"/>
      <c r="M120" s="363"/>
      <c r="N120" s="258"/>
      <c r="O120" s="258"/>
    </row>
    <row r="121" spans="1:15" ht="14.15" customHeight="1" x14ac:dyDescent="0.3">
      <c r="A121" s="341"/>
      <c r="B121" s="454"/>
      <c r="C121" s="29"/>
      <c r="D121" s="1"/>
      <c r="E121" s="36"/>
      <c r="F121" s="41"/>
      <c r="G121" s="348"/>
      <c r="H121" s="348"/>
      <c r="I121" s="79"/>
      <c r="J121" s="79"/>
      <c r="K121" s="349"/>
      <c r="L121" s="350"/>
      <c r="M121" s="351"/>
      <c r="N121" s="258"/>
      <c r="O121" s="258"/>
    </row>
    <row r="122" spans="1:15" ht="14.15" customHeight="1" x14ac:dyDescent="0.3">
      <c r="A122" s="341"/>
      <c r="B122" s="443" t="s">
        <v>201</v>
      </c>
      <c r="C122" s="29"/>
      <c r="D122" s="1"/>
      <c r="E122" s="36"/>
      <c r="F122" s="41"/>
      <c r="G122" s="348"/>
      <c r="H122" s="348"/>
      <c r="I122" s="79"/>
      <c r="J122" s="79"/>
      <c r="K122" s="349"/>
      <c r="L122" s="350"/>
      <c r="M122" s="351"/>
      <c r="N122" s="258"/>
      <c r="O122" s="258"/>
    </row>
    <row r="123" spans="1:15" ht="14.15" customHeight="1" x14ac:dyDescent="0.3">
      <c r="A123" s="384"/>
      <c r="B123" s="455"/>
      <c r="C123" s="29"/>
      <c r="D123" s="1"/>
      <c r="E123" s="36"/>
      <c r="F123" s="41"/>
      <c r="G123" s="348"/>
      <c r="H123" s="348"/>
      <c r="I123" s="79"/>
      <c r="J123" s="79"/>
      <c r="K123" s="349"/>
      <c r="L123" s="350"/>
      <c r="M123" s="351"/>
      <c r="N123" s="258"/>
      <c r="O123" s="258"/>
    </row>
    <row r="124" spans="1:15" ht="28" customHeight="1" x14ac:dyDescent="0.3">
      <c r="A124" s="341" t="s">
        <v>202</v>
      </c>
      <c r="B124" s="443" t="s">
        <v>203</v>
      </c>
      <c r="C124" s="29" t="s">
        <v>42</v>
      </c>
      <c r="D124" s="1">
        <v>0</v>
      </c>
      <c r="E124" s="36"/>
      <c r="F124" s="41">
        <v>0.2</v>
      </c>
      <c r="G124" s="348">
        <f>E124/(1-F124)</f>
        <v>0</v>
      </c>
      <c r="H124" s="348">
        <f>140*(20+60+200)</f>
        <v>39200</v>
      </c>
      <c r="I124" s="83">
        <v>0.15</v>
      </c>
      <c r="J124" s="79">
        <f>H124*(1+I124)</f>
        <v>45080</v>
      </c>
      <c r="K124" s="349">
        <f>J124*D124</f>
        <v>0</v>
      </c>
      <c r="L124" s="350">
        <f>G124+J124</f>
        <v>45080</v>
      </c>
      <c r="M124" s="351">
        <f>D124*L124</f>
        <v>0</v>
      </c>
      <c r="N124" s="258"/>
      <c r="O124" s="258"/>
    </row>
    <row r="125" spans="1:15" s="297" customFormat="1" ht="28" customHeight="1" x14ac:dyDescent="0.3">
      <c r="A125" s="341" t="s">
        <v>204</v>
      </c>
      <c r="B125" s="443" t="s">
        <v>205</v>
      </c>
      <c r="C125" s="29" t="s">
        <v>42</v>
      </c>
      <c r="D125" s="1">
        <v>0</v>
      </c>
      <c r="E125" s="36"/>
      <c r="F125" s="41">
        <v>0.2</v>
      </c>
      <c r="G125" s="348">
        <f>E125/(1-F125)</f>
        <v>0</v>
      </c>
      <c r="H125" s="348">
        <f>140*(20+60+200)</f>
        <v>39200</v>
      </c>
      <c r="I125" s="83">
        <v>0.15</v>
      </c>
      <c r="J125" s="79">
        <f>H125*(1+I125)</f>
        <v>45080</v>
      </c>
      <c r="K125" s="349">
        <f>J125*D125</f>
        <v>0</v>
      </c>
      <c r="L125" s="350">
        <f>G125+J125</f>
        <v>45080</v>
      </c>
      <c r="M125" s="351">
        <f>D125*L125</f>
        <v>0</v>
      </c>
      <c r="N125" s="258"/>
      <c r="O125" s="258"/>
    </row>
    <row r="126" spans="1:15" s="297" customFormat="1" ht="14.15" customHeight="1" x14ac:dyDescent="0.3">
      <c r="A126" s="341" t="s">
        <v>206</v>
      </c>
      <c r="B126" s="443" t="s">
        <v>207</v>
      </c>
      <c r="C126" s="29" t="s">
        <v>42</v>
      </c>
      <c r="D126" s="1">
        <v>0</v>
      </c>
      <c r="E126" s="36">
        <f>35*(50+50)</f>
        <v>3500</v>
      </c>
      <c r="F126" s="41">
        <v>0.2</v>
      </c>
      <c r="G126" s="348">
        <f>E126/(1-F126)</f>
        <v>4375</v>
      </c>
      <c r="H126" s="348">
        <f>5*(50+50+50)</f>
        <v>750</v>
      </c>
      <c r="I126" s="83">
        <v>0.15</v>
      </c>
      <c r="J126" s="79">
        <f>H126*(1+I126)</f>
        <v>862.49999999999989</v>
      </c>
      <c r="K126" s="349">
        <f>J126*D126</f>
        <v>0</v>
      </c>
      <c r="L126" s="350">
        <f>G126+J126</f>
        <v>5237.5</v>
      </c>
      <c r="M126" s="351">
        <f>D126*L126</f>
        <v>0</v>
      </c>
      <c r="N126" s="258"/>
      <c r="O126" s="258"/>
    </row>
    <row r="127" spans="1:15" s="297" customFormat="1" ht="14.5" customHeight="1" thickBot="1" x14ac:dyDescent="0.35">
      <c r="A127" s="381" t="s">
        <v>208</v>
      </c>
      <c r="B127" s="446" t="s">
        <v>209</v>
      </c>
      <c r="C127" s="76" t="s">
        <v>42</v>
      </c>
      <c r="D127" s="50">
        <v>0</v>
      </c>
      <c r="E127" s="51">
        <f>4500*3</f>
        <v>13500</v>
      </c>
      <c r="F127" s="52">
        <v>0.2</v>
      </c>
      <c r="G127" s="376">
        <f>E127/(1-F127)</f>
        <v>16875</v>
      </c>
      <c r="H127" s="376">
        <v>5</v>
      </c>
      <c r="I127" s="84">
        <v>0.15</v>
      </c>
      <c r="J127" s="80">
        <f>H127*(1+I127)</f>
        <v>5.75</v>
      </c>
      <c r="K127" s="382">
        <f>J127*D127</f>
        <v>0</v>
      </c>
      <c r="L127" s="407">
        <f>G127+J127</f>
        <v>16880.75</v>
      </c>
      <c r="M127" s="378">
        <f>D127*L127</f>
        <v>0</v>
      </c>
      <c r="N127" s="258"/>
      <c r="O127" s="258"/>
    </row>
    <row r="128" spans="1:15" s="297" customFormat="1" ht="14.5" customHeight="1" thickBot="1" x14ac:dyDescent="0.35">
      <c r="A128" s="404"/>
      <c r="B128" s="456"/>
      <c r="C128" s="28"/>
      <c r="D128" s="1"/>
      <c r="E128" s="36"/>
      <c r="F128" s="41"/>
      <c r="G128" s="348"/>
      <c r="H128" s="348"/>
      <c r="I128" s="79"/>
      <c r="J128" s="79"/>
      <c r="K128" s="406"/>
      <c r="L128" s="350"/>
      <c r="M128" s="351"/>
      <c r="N128" s="258"/>
      <c r="O128" s="258"/>
    </row>
    <row r="129" spans="1:15" s="297" customFormat="1" ht="14.15" customHeight="1" x14ac:dyDescent="0.3">
      <c r="A129" s="359">
        <v>2.1800000000000002</v>
      </c>
      <c r="B129" s="450"/>
      <c r="C129" s="75"/>
      <c r="D129" s="55" t="s">
        <v>210</v>
      </c>
      <c r="E129" s="56"/>
      <c r="F129" s="57"/>
      <c r="G129" s="361"/>
      <c r="H129" s="361"/>
      <c r="I129" s="56"/>
      <c r="J129" s="56"/>
      <c r="K129" s="362"/>
      <c r="L129" s="363"/>
      <c r="M129" s="363"/>
      <c r="N129" s="258"/>
      <c r="O129" s="258"/>
    </row>
    <row r="130" spans="1:15" s="297" customFormat="1" ht="14.15" customHeight="1" x14ac:dyDescent="0.3">
      <c r="A130" s="341"/>
      <c r="B130" s="454"/>
      <c r="C130" s="29"/>
      <c r="D130" s="1"/>
      <c r="E130" s="36"/>
      <c r="F130" s="41"/>
      <c r="G130" s="348"/>
      <c r="H130" s="348"/>
      <c r="I130" s="79"/>
      <c r="J130" s="79"/>
      <c r="K130" s="349"/>
      <c r="L130" s="350"/>
      <c r="M130" s="351"/>
      <c r="N130" s="258"/>
      <c r="O130" s="258"/>
    </row>
    <row r="131" spans="1:15" s="297" customFormat="1" ht="14.15" customHeight="1" x14ac:dyDescent="0.3">
      <c r="A131" s="341" t="s">
        <v>211</v>
      </c>
      <c r="B131" s="443" t="s">
        <v>243</v>
      </c>
      <c r="C131" s="29" t="s">
        <v>42</v>
      </c>
      <c r="D131" s="1">
        <v>0</v>
      </c>
      <c r="E131" s="36">
        <v>0</v>
      </c>
      <c r="F131" s="41">
        <v>0.2</v>
      </c>
      <c r="G131" s="348">
        <f>E131/(1-F131)</f>
        <v>0</v>
      </c>
      <c r="H131" s="348">
        <f>2500*3</f>
        <v>7500</v>
      </c>
      <c r="I131" s="79"/>
      <c r="J131" s="79"/>
      <c r="K131" s="349">
        <f>H131*D131</f>
        <v>0</v>
      </c>
      <c r="L131" s="350">
        <f>G131+J131</f>
        <v>0</v>
      </c>
      <c r="M131" s="351">
        <f>D131*L131</f>
        <v>0</v>
      </c>
      <c r="N131" s="258"/>
      <c r="O131" s="258"/>
    </row>
    <row r="132" spans="1:15" s="297" customFormat="1" ht="14.5" customHeight="1" thickBot="1" x14ac:dyDescent="0.35">
      <c r="A132" s="381"/>
      <c r="B132" s="411"/>
      <c r="C132" s="77"/>
      <c r="D132" s="50"/>
      <c r="E132" s="51"/>
      <c r="F132" s="52"/>
      <c r="G132" s="376"/>
      <c r="H132" s="376"/>
      <c r="I132" s="80"/>
      <c r="J132" s="80"/>
      <c r="K132" s="382">
        <f>H132*D132</f>
        <v>0</v>
      </c>
      <c r="L132" s="412"/>
      <c r="M132" s="378"/>
      <c r="N132" s="258"/>
      <c r="O132" s="258"/>
    </row>
    <row r="133" spans="1:15" s="297" customFormat="1" ht="14.15" customHeight="1" x14ac:dyDescent="0.3">
      <c r="A133" s="369"/>
      <c r="B133" s="413"/>
      <c r="C133" s="28"/>
      <c r="D133" s="1"/>
      <c r="E133" s="36"/>
      <c r="F133" s="41"/>
      <c r="G133" s="348"/>
      <c r="H133" s="348"/>
      <c r="I133" s="36"/>
      <c r="J133" s="36"/>
      <c r="K133" s="414"/>
      <c r="L133" s="350"/>
      <c r="M133" s="351"/>
      <c r="N133" s="258"/>
      <c r="O133" s="258"/>
    </row>
    <row r="134" spans="1:15" s="297" customFormat="1" ht="14.15" customHeight="1" x14ac:dyDescent="0.3">
      <c r="A134" s="404">
        <v>2.19</v>
      </c>
      <c r="B134" s="455" t="s">
        <v>213</v>
      </c>
      <c r="C134" s="29"/>
      <c r="D134" s="1"/>
      <c r="E134" s="36"/>
      <c r="F134" s="41"/>
      <c r="G134" s="348"/>
      <c r="H134" s="348"/>
      <c r="I134" s="36"/>
      <c r="J134" s="36"/>
      <c r="K134" s="415">
        <f>H134*D134</f>
        <v>0</v>
      </c>
      <c r="L134" s="350"/>
      <c r="M134" s="351"/>
      <c r="N134" s="258"/>
      <c r="O134" s="258"/>
    </row>
    <row r="135" spans="1:15" s="297" customFormat="1" ht="14.15" customHeight="1" x14ac:dyDescent="0.3">
      <c r="A135" s="404" t="s">
        <v>214</v>
      </c>
      <c r="B135" s="443" t="s">
        <v>215</v>
      </c>
      <c r="C135" s="29" t="s">
        <v>42</v>
      </c>
      <c r="D135" s="1">
        <v>1</v>
      </c>
      <c r="E135" s="36">
        <v>25000</v>
      </c>
      <c r="F135" s="41">
        <v>0</v>
      </c>
      <c r="G135" s="348">
        <f>E135/(1-F135)</f>
        <v>25000</v>
      </c>
      <c r="H135" s="348">
        <v>0</v>
      </c>
      <c r="I135" s="36"/>
      <c r="J135" s="36"/>
      <c r="K135" s="415">
        <f>H135*D135</f>
        <v>0</v>
      </c>
      <c r="L135" s="350">
        <f>G135+H135</f>
        <v>25000</v>
      </c>
      <c r="M135" s="351">
        <f>D135*L135</f>
        <v>25000</v>
      </c>
      <c r="N135" s="258"/>
      <c r="O135" s="258"/>
    </row>
    <row r="136" spans="1:15" s="297" customFormat="1" ht="14.15" customHeight="1" x14ac:dyDescent="0.3">
      <c r="A136" s="404"/>
      <c r="B136" s="455"/>
      <c r="C136" s="29"/>
      <c r="D136" s="1"/>
      <c r="E136" s="36"/>
      <c r="F136" s="41"/>
      <c r="G136" s="348"/>
      <c r="H136" s="348"/>
      <c r="I136" s="36"/>
      <c r="J136" s="36"/>
      <c r="K136" s="415"/>
      <c r="L136" s="350"/>
      <c r="M136" s="351"/>
      <c r="N136" s="258"/>
      <c r="O136" s="258"/>
    </row>
    <row r="137" spans="1:15" s="297" customFormat="1" ht="14.15" customHeight="1" x14ac:dyDescent="0.3">
      <c r="A137" s="416">
        <v>2.2000000000000002</v>
      </c>
      <c r="B137" s="455" t="s">
        <v>216</v>
      </c>
      <c r="C137" s="29"/>
      <c r="D137" s="1"/>
      <c r="E137" s="36"/>
      <c r="F137" s="41"/>
      <c r="G137" s="348"/>
      <c r="H137" s="348"/>
      <c r="I137" s="36"/>
      <c r="J137" s="36"/>
      <c r="K137" s="415">
        <f>H137*D137</f>
        <v>0</v>
      </c>
      <c r="L137" s="350"/>
      <c r="M137" s="351"/>
      <c r="N137" s="258"/>
      <c r="O137" s="258"/>
    </row>
    <row r="138" spans="1:15" s="297" customFormat="1" ht="14.15" customHeight="1" x14ac:dyDescent="0.3">
      <c r="A138" s="404" t="s">
        <v>217</v>
      </c>
      <c r="B138" s="443" t="s">
        <v>218</v>
      </c>
      <c r="C138" s="29" t="s">
        <v>42</v>
      </c>
      <c r="D138" s="1">
        <v>1</v>
      </c>
      <c r="E138" s="36">
        <f>15000</f>
        <v>15000</v>
      </c>
      <c r="F138" s="41">
        <v>0</v>
      </c>
      <c r="G138" s="348">
        <f>E138/(1-F138)</f>
        <v>15000</v>
      </c>
      <c r="H138" s="348">
        <v>0</v>
      </c>
      <c r="I138" s="36"/>
      <c r="J138" s="36"/>
      <c r="K138" s="415">
        <f>H138*D138</f>
        <v>0</v>
      </c>
      <c r="L138" s="350">
        <f>G138+H138</f>
        <v>15000</v>
      </c>
      <c r="M138" s="351">
        <f>D138*L138</f>
        <v>15000</v>
      </c>
      <c r="N138" s="258"/>
      <c r="O138" s="258"/>
    </row>
    <row r="139" spans="1:15" s="297" customFormat="1" ht="14.15" customHeight="1" x14ac:dyDescent="0.3">
      <c r="A139" s="404"/>
      <c r="B139" s="455"/>
      <c r="C139" s="29"/>
      <c r="D139" s="1"/>
      <c r="E139" s="36"/>
      <c r="F139" s="41"/>
      <c r="G139" s="348"/>
      <c r="H139" s="348"/>
      <c r="I139" s="36"/>
      <c r="J139" s="36"/>
      <c r="K139" s="415"/>
      <c r="L139" s="350"/>
      <c r="M139" s="351"/>
      <c r="N139" s="258"/>
      <c r="O139" s="258"/>
    </row>
    <row r="140" spans="1:15" s="297" customFormat="1" ht="14.15" customHeight="1" x14ac:dyDescent="0.3">
      <c r="A140" s="404">
        <v>2.21</v>
      </c>
      <c r="B140" s="455" t="s">
        <v>219</v>
      </c>
      <c r="C140" s="29"/>
      <c r="D140" s="1"/>
      <c r="E140" s="36"/>
      <c r="F140" s="41"/>
      <c r="G140" s="348"/>
      <c r="H140" s="348"/>
      <c r="I140" s="36"/>
      <c r="J140" s="36"/>
      <c r="K140" s="415">
        <f>H140*D140</f>
        <v>0</v>
      </c>
      <c r="L140" s="350"/>
      <c r="M140" s="351"/>
      <c r="N140" s="258"/>
      <c r="O140" s="258"/>
    </row>
    <row r="141" spans="1:15" ht="14.15" customHeight="1" x14ac:dyDescent="0.3">
      <c r="A141" s="404" t="s">
        <v>220</v>
      </c>
      <c r="B141" s="443" t="s">
        <v>221</v>
      </c>
      <c r="C141" s="29" t="s">
        <v>42</v>
      </c>
      <c r="D141" s="1">
        <v>1</v>
      </c>
      <c r="E141" s="36">
        <f>5000</f>
        <v>5000</v>
      </c>
      <c r="F141" s="41">
        <v>0</v>
      </c>
      <c r="G141" s="348">
        <f>E141/(1-F141)</f>
        <v>5000</v>
      </c>
      <c r="H141" s="348">
        <v>0</v>
      </c>
      <c r="I141" s="36"/>
      <c r="J141" s="36"/>
      <c r="K141" s="415">
        <f>H141*D141</f>
        <v>0</v>
      </c>
      <c r="L141" s="350">
        <f>G141+H141</f>
        <v>5000</v>
      </c>
      <c r="M141" s="351">
        <f>D141*L141</f>
        <v>5000</v>
      </c>
      <c r="N141" s="258"/>
      <c r="O141" s="258"/>
    </row>
    <row r="142" spans="1:15" ht="14.15" customHeight="1" x14ac:dyDescent="0.3">
      <c r="A142" s="404" t="s">
        <v>222</v>
      </c>
      <c r="B142" s="443" t="s">
        <v>223</v>
      </c>
      <c r="C142" s="29" t="s">
        <v>42</v>
      </c>
      <c r="D142" s="1">
        <v>1</v>
      </c>
      <c r="E142" s="36">
        <f>50000</f>
        <v>50000</v>
      </c>
      <c r="F142" s="41">
        <v>0</v>
      </c>
      <c r="G142" s="348">
        <f>E142/(1-F142)</f>
        <v>50000</v>
      </c>
      <c r="H142" s="348">
        <v>0</v>
      </c>
      <c r="I142" s="36"/>
      <c r="J142" s="36"/>
      <c r="K142" s="415">
        <f>H142*D142</f>
        <v>0</v>
      </c>
      <c r="L142" s="350">
        <f>G142+H142</f>
        <v>50000</v>
      </c>
      <c r="M142" s="351">
        <f>D142*L142</f>
        <v>50000</v>
      </c>
      <c r="N142" s="258"/>
      <c r="O142" s="258"/>
    </row>
    <row r="143" spans="1:15" ht="14.15" customHeight="1" x14ac:dyDescent="0.3">
      <c r="A143" s="404"/>
      <c r="B143" s="413"/>
      <c r="C143" s="28"/>
      <c r="D143" s="1"/>
      <c r="E143" s="36"/>
      <c r="F143" s="41"/>
      <c r="G143" s="348"/>
      <c r="H143" s="348"/>
      <c r="I143" s="36"/>
      <c r="J143" s="36"/>
      <c r="K143" s="415"/>
      <c r="L143" s="350"/>
      <c r="M143" s="351"/>
      <c r="N143" s="258"/>
      <c r="O143" s="258"/>
    </row>
    <row r="144" spans="1:15" ht="14.15" customHeight="1" x14ac:dyDescent="0.3">
      <c r="A144" s="404">
        <v>2.2200000000000002</v>
      </c>
      <c r="B144" s="455" t="s">
        <v>224</v>
      </c>
      <c r="C144" s="28"/>
      <c r="D144" s="1"/>
      <c r="E144" s="36"/>
      <c r="F144" s="41"/>
      <c r="G144" s="348"/>
      <c r="H144" s="348"/>
      <c r="I144" s="36"/>
      <c r="J144" s="36"/>
      <c r="K144" s="415">
        <f>H144*D144</f>
        <v>0</v>
      </c>
      <c r="L144" s="350"/>
      <c r="M144" s="351"/>
      <c r="N144" s="258"/>
      <c r="O144" s="258"/>
    </row>
    <row r="145" spans="1:15" ht="14.15" customHeight="1" x14ac:dyDescent="0.3">
      <c r="A145" s="404"/>
      <c r="B145" s="413"/>
      <c r="C145" s="28"/>
      <c r="D145" s="1"/>
      <c r="E145" s="36"/>
      <c r="F145" s="41"/>
      <c r="G145" s="348"/>
      <c r="H145" s="348"/>
      <c r="I145" s="36"/>
      <c r="J145" s="36"/>
      <c r="K145" s="415">
        <f>H145*D145</f>
        <v>0</v>
      </c>
      <c r="L145" s="350"/>
      <c r="M145" s="351"/>
      <c r="N145" s="258"/>
      <c r="O145" s="258"/>
    </row>
    <row r="146" spans="1:15" ht="28" customHeight="1" x14ac:dyDescent="0.3">
      <c r="A146" s="404" t="s">
        <v>225</v>
      </c>
      <c r="B146" s="443" t="s">
        <v>226</v>
      </c>
      <c r="C146" s="28" t="s">
        <v>42</v>
      </c>
      <c r="D146" s="1">
        <v>1</v>
      </c>
      <c r="E146" s="36">
        <f>5000*3</f>
        <v>15000</v>
      </c>
      <c r="F146" s="41">
        <v>0.2</v>
      </c>
      <c r="G146" s="348">
        <f>E146/(1-F146)</f>
        <v>18750</v>
      </c>
      <c r="H146" s="348">
        <v>1</v>
      </c>
      <c r="I146" s="36"/>
      <c r="J146" s="36"/>
      <c r="K146" s="415">
        <f>H146*D146</f>
        <v>1</v>
      </c>
      <c r="L146" s="350">
        <f>G146+H146</f>
        <v>18751</v>
      </c>
      <c r="M146" s="351">
        <f>D146*L146</f>
        <v>18751</v>
      </c>
      <c r="N146" s="258"/>
      <c r="O146" s="258"/>
    </row>
    <row r="147" spans="1:15" ht="14.15" customHeight="1" x14ac:dyDescent="0.3">
      <c r="A147" s="404"/>
      <c r="B147" s="413"/>
      <c r="C147" s="28"/>
      <c r="D147" s="1"/>
      <c r="E147" s="36"/>
      <c r="F147" s="41"/>
      <c r="G147" s="348"/>
      <c r="H147" s="348"/>
      <c r="I147" s="36"/>
      <c r="J147" s="36"/>
      <c r="K147" s="417"/>
      <c r="L147" s="350"/>
      <c r="M147" s="418"/>
      <c r="N147" s="258"/>
      <c r="O147" s="258"/>
    </row>
    <row r="148" spans="1:15" ht="14.5" customHeight="1" thickBot="1" x14ac:dyDescent="0.35">
      <c r="A148" s="440"/>
      <c r="B148" s="413"/>
      <c r="C148" s="28"/>
      <c r="D148" s="1"/>
      <c r="E148" s="36"/>
      <c r="F148" s="41"/>
      <c r="G148" s="348"/>
      <c r="H148" s="348"/>
      <c r="I148" s="36"/>
      <c r="J148" s="36"/>
      <c r="K148" s="417"/>
      <c r="L148" s="350"/>
      <c r="M148" s="418"/>
      <c r="N148" s="258"/>
      <c r="O148" s="258"/>
    </row>
    <row r="149" spans="1:15" ht="18.75" customHeight="1" thickTop="1" x14ac:dyDescent="0.3">
      <c r="A149" s="419"/>
      <c r="B149" s="457" t="s">
        <v>227</v>
      </c>
      <c r="C149" s="2"/>
      <c r="D149" s="2"/>
      <c r="E149" s="39"/>
      <c r="F149" s="42"/>
      <c r="G149" s="421"/>
      <c r="H149" s="421"/>
      <c r="I149" s="39"/>
      <c r="J149" s="39"/>
      <c r="K149" s="422">
        <f>SUM(K11:K146)</f>
        <v>147362</v>
      </c>
      <c r="L149" s="458"/>
      <c r="M149" s="424">
        <f>SUM(M11:M148)</f>
        <v>1134044.8448809525</v>
      </c>
      <c r="N149" s="258"/>
      <c r="O149" s="258"/>
    </row>
    <row r="150" spans="1:15" ht="16.5" customHeight="1" x14ac:dyDescent="0.3">
      <c r="A150" s="426"/>
      <c r="B150" s="427"/>
      <c r="C150" s="257"/>
      <c r="D150" s="47"/>
      <c r="E150" s="250"/>
      <c r="F150" s="48"/>
      <c r="G150" s="428"/>
      <c r="H150" s="428"/>
      <c r="I150" s="250"/>
      <c r="J150" s="250"/>
      <c r="K150" s="429"/>
      <c r="L150" s="430"/>
      <c r="M150" s="431"/>
      <c r="N150" s="258"/>
      <c r="O150" s="258"/>
    </row>
    <row r="151" spans="1:15" ht="18.75" customHeight="1" x14ac:dyDescent="0.3">
      <c r="A151" s="258"/>
      <c r="B151" s="387"/>
      <c r="C151" s="34"/>
      <c r="D151" s="249"/>
      <c r="E151" s="249"/>
      <c r="F151" s="249"/>
      <c r="G151" s="432"/>
      <c r="H151" s="432"/>
      <c r="I151" s="249"/>
      <c r="J151" s="249"/>
      <c r="K151" s="432"/>
      <c r="L151" s="433"/>
      <c r="M151" s="434"/>
      <c r="N151" s="258"/>
      <c r="O151" s="258"/>
    </row>
    <row r="152" spans="1:15" ht="18.75" customHeight="1" x14ac:dyDescent="0.25"/>
    <row r="153" spans="1:15" ht="18.75" customHeight="1" x14ac:dyDescent="0.25"/>
    <row r="154" spans="1:15" ht="18.75" customHeight="1" x14ac:dyDescent="0.25"/>
    <row r="155" spans="1:15" ht="18.75" customHeight="1" x14ac:dyDescent="0.25"/>
    <row r="156" spans="1:15" ht="18.75" customHeight="1" x14ac:dyDescent="0.25"/>
    <row r="157" spans="1:15" ht="18.75" customHeight="1" x14ac:dyDescent="0.25"/>
    <row r="158" spans="1:15" ht="18.75" customHeight="1" x14ac:dyDescent="0.25"/>
    <row r="159" spans="1:15" ht="18.75" customHeight="1" x14ac:dyDescent="0.25"/>
    <row r="160" spans="1:15" ht="18.75" customHeight="1" x14ac:dyDescent="0.25"/>
    <row r="161" ht="18.75" customHeight="1" x14ac:dyDescent="0.25"/>
    <row r="162" ht="18.75" customHeight="1" x14ac:dyDescent="0.25"/>
    <row r="163" ht="18.75" customHeight="1" x14ac:dyDescent="0.25"/>
    <row r="164" ht="18.75" customHeight="1" x14ac:dyDescent="0.25"/>
    <row r="165" ht="18.75" customHeight="1" x14ac:dyDescent="0.25"/>
    <row r="166" ht="18.75" customHeight="1" x14ac:dyDescent="0.25"/>
    <row r="167" ht="18.75" customHeight="1" x14ac:dyDescent="0.25"/>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167"/>
  <sheetViews>
    <sheetView view="pageBreakPreview" topLeftCell="I1" zoomScaleNormal="100" zoomScaleSheetLayoutView="100" workbookViewId="0">
      <pane ySplit="5" topLeftCell="A144" activePane="bottomLeft" state="frozen"/>
      <selection pane="bottomLeft" activeCell="N150" sqref="N150"/>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1" width="13.81640625" style="8" customWidth="1"/>
    <col min="12" max="12" width="12.453125" style="295"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33" t="s">
        <v>36</v>
      </c>
      <c r="E5" s="82" t="s">
        <v>72</v>
      </c>
      <c r="F5" s="82" t="s">
        <v>73</v>
      </c>
      <c r="G5" s="313" t="s">
        <v>74</v>
      </c>
      <c r="H5" s="314" t="s">
        <v>75</v>
      </c>
      <c r="I5" s="82" t="s">
        <v>73</v>
      </c>
      <c r="J5" s="315" t="s">
        <v>76</v>
      </c>
      <c r="K5" s="316"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516" t="s">
        <v>407</v>
      </c>
      <c r="C11" s="49" t="s">
        <v>85</v>
      </c>
      <c r="D11" s="50">
        <v>0</v>
      </c>
      <c r="E11" s="36">
        <f>1623.93</f>
        <v>1623.93</v>
      </c>
      <c r="F11" s="41">
        <v>0.25</v>
      </c>
      <c r="G11" s="348">
        <f>E11/(1-F11)</f>
        <v>2165.2400000000002</v>
      </c>
      <c r="H11" s="348">
        <v>350</v>
      </c>
      <c r="I11" s="83">
        <v>0.15</v>
      </c>
      <c r="J11" s="79">
        <f>H11*(1+I11)</f>
        <v>402.49999999999994</v>
      </c>
      <c r="K11" s="349">
        <f>J11*D11</f>
        <v>0</v>
      </c>
      <c r="L11" s="350">
        <f>G11+J11</f>
        <v>2567.7400000000002</v>
      </c>
      <c r="M11" s="351">
        <f>D11*L11</f>
        <v>0</v>
      </c>
      <c r="N11" s="258"/>
      <c r="O11" s="258"/>
    </row>
    <row r="12" spans="1:15" ht="14.5" customHeight="1" thickBot="1" x14ac:dyDescent="0.35">
      <c r="A12" s="354"/>
      <c r="B12" s="441"/>
      <c r="C12" s="71"/>
      <c r="D12" s="72"/>
      <c r="E12" s="73"/>
      <c r="F12" s="74"/>
      <c r="G12" s="356"/>
      <c r="H12" s="356"/>
      <c r="I12" s="73"/>
      <c r="J12" s="73"/>
      <c r="K12" s="357"/>
      <c r="L12" s="358"/>
      <c r="M12" s="358"/>
      <c r="N12" s="258"/>
      <c r="O12" s="258"/>
    </row>
    <row r="13" spans="1:15" ht="14.15" customHeight="1" x14ac:dyDescent="0.3">
      <c r="A13" s="359" t="s">
        <v>86</v>
      </c>
      <c r="B13" s="360"/>
      <c r="C13" s="255"/>
      <c r="D13" s="58" t="s">
        <v>87</v>
      </c>
      <c r="E13" s="56"/>
      <c r="F13" s="57"/>
      <c r="G13" s="361"/>
      <c r="H13" s="361"/>
      <c r="I13" s="56"/>
      <c r="J13" s="56"/>
      <c r="K13" s="362"/>
      <c r="L13" s="363"/>
      <c r="M13" s="363"/>
      <c r="N13" s="258"/>
      <c r="O13" s="258"/>
    </row>
    <row r="14" spans="1:15" ht="14.5" customHeight="1" thickBot="1" x14ac:dyDescent="0.35">
      <c r="A14" s="341" t="s">
        <v>88</v>
      </c>
      <c r="B14" s="442" t="s">
        <v>408</v>
      </c>
      <c r="C14" s="30" t="s">
        <v>85</v>
      </c>
      <c r="D14" s="1">
        <v>2</v>
      </c>
      <c r="E14" s="36">
        <v>37623.760000000002</v>
      </c>
      <c r="F14" s="41">
        <v>0.2</v>
      </c>
      <c r="G14" s="348">
        <f>E14/(1-F14)</f>
        <v>47029.7</v>
      </c>
      <c r="H14" s="348">
        <f>(550*8)+3600</f>
        <v>8000</v>
      </c>
      <c r="I14" s="83">
        <v>0.15</v>
      </c>
      <c r="J14" s="79">
        <f>H14*(1+I14)</f>
        <v>9200</v>
      </c>
      <c r="K14" s="349">
        <f>J14*D14</f>
        <v>18400</v>
      </c>
      <c r="L14" s="350">
        <f>G14+J14</f>
        <v>56229.7</v>
      </c>
      <c r="M14" s="351">
        <f>D14*L14</f>
        <v>112459.4</v>
      </c>
      <c r="N14" s="258"/>
      <c r="O14" s="258"/>
    </row>
    <row r="15" spans="1:15" ht="14.5" customHeight="1" thickBot="1" x14ac:dyDescent="0.35">
      <c r="A15" s="354"/>
      <c r="B15" s="441"/>
      <c r="C15" s="71"/>
      <c r="D15" s="72"/>
      <c r="E15" s="73"/>
      <c r="F15" s="74"/>
      <c r="G15" s="356"/>
      <c r="H15" s="356"/>
      <c r="I15" s="73"/>
      <c r="J15" s="73"/>
      <c r="K15" s="357"/>
      <c r="L15" s="358"/>
      <c r="M15" s="358"/>
      <c r="N15" s="258"/>
      <c r="O15" s="258"/>
    </row>
    <row r="16" spans="1:15" ht="14.15" customHeight="1" x14ac:dyDescent="0.3">
      <c r="A16" s="359">
        <v>2.2999999999999998</v>
      </c>
      <c r="B16" s="367"/>
      <c r="C16" s="255"/>
      <c r="D16" s="58" t="s">
        <v>91</v>
      </c>
      <c r="E16" s="56"/>
      <c r="F16" s="57"/>
      <c r="G16" s="361"/>
      <c r="H16" s="361"/>
      <c r="I16" s="56"/>
      <c r="J16" s="56"/>
      <c r="K16" s="362"/>
      <c r="L16" s="363"/>
      <c r="M16" s="363"/>
      <c r="N16" s="258"/>
      <c r="O16" s="258"/>
    </row>
    <row r="17" spans="1:15" ht="14.15" customHeight="1" x14ac:dyDescent="0.3">
      <c r="A17" s="341" t="s">
        <v>92</v>
      </c>
      <c r="B17" s="443" t="s">
        <v>409</v>
      </c>
      <c r="C17" s="30" t="s">
        <v>85</v>
      </c>
      <c r="D17" s="1">
        <v>6</v>
      </c>
      <c r="E17" s="36">
        <v>1021.3</v>
      </c>
      <c r="F17" s="41">
        <v>0.2</v>
      </c>
      <c r="G17" s="348">
        <f>E17/(1-F17)</f>
        <v>1276.6249999999998</v>
      </c>
      <c r="H17" s="348">
        <f>(550*4)+3500</f>
        <v>5700</v>
      </c>
      <c r="I17" s="83">
        <v>0.15</v>
      </c>
      <c r="J17" s="79">
        <f>H17*(1+I17)</f>
        <v>6554.9999999999991</v>
      </c>
      <c r="K17" s="349">
        <f>J17*D17</f>
        <v>39329.999999999993</v>
      </c>
      <c r="L17" s="350">
        <f>G17+J17</f>
        <v>7831.6249999999991</v>
      </c>
      <c r="M17" s="351">
        <f>D17*L17</f>
        <v>46989.749999999993</v>
      </c>
      <c r="N17" s="258"/>
      <c r="O17" s="258"/>
    </row>
    <row r="18" spans="1:15" ht="14.5" customHeight="1" thickBot="1" x14ac:dyDescent="0.35">
      <c r="A18" s="341" t="s">
        <v>94</v>
      </c>
      <c r="B18" s="444" t="s">
        <v>410</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436"/>
      <c r="O18" s="369"/>
    </row>
    <row r="19" spans="1:15" ht="14.15" customHeight="1" x14ac:dyDescent="0.3">
      <c r="A19" s="359">
        <v>2.4</v>
      </c>
      <c r="B19" s="360"/>
      <c r="C19" s="255"/>
      <c r="D19" s="58" t="s">
        <v>96</v>
      </c>
      <c r="E19" s="56"/>
      <c r="F19" s="57"/>
      <c r="G19" s="361"/>
      <c r="H19" s="361"/>
      <c r="I19" s="56"/>
      <c r="J19" s="56"/>
      <c r="K19" s="362"/>
      <c r="L19" s="363"/>
      <c r="M19" s="363"/>
      <c r="N19" s="258"/>
      <c r="O19" s="258"/>
    </row>
    <row r="20" spans="1:15" ht="28" customHeight="1" x14ac:dyDescent="0.3">
      <c r="A20" s="370" t="s">
        <v>97</v>
      </c>
      <c r="B20" s="445" t="s">
        <v>412</v>
      </c>
      <c r="C20" s="3" t="s">
        <v>85</v>
      </c>
      <c r="D20" s="7">
        <v>2</v>
      </c>
      <c r="E20" s="37">
        <f>(125509.39*1.2)</f>
        <v>150611.26799999998</v>
      </c>
      <c r="F20" s="41">
        <v>0.2</v>
      </c>
      <c r="G20" s="348">
        <f>E20/(1-F20)</f>
        <v>188264.08499999996</v>
      </c>
      <c r="H20" s="371">
        <f>(550*8)+3600</f>
        <v>8000</v>
      </c>
      <c r="I20" s="83">
        <v>0.15</v>
      </c>
      <c r="J20" s="79">
        <f>H20*(1+I20)</f>
        <v>9200</v>
      </c>
      <c r="K20" s="349">
        <f>J20*D20</f>
        <v>18400</v>
      </c>
      <c r="L20" s="350">
        <f>G20+J20</f>
        <v>197464.08499999996</v>
      </c>
      <c r="M20" s="351">
        <f>D20*L20</f>
        <v>394928.16999999993</v>
      </c>
      <c r="N20" s="258"/>
      <c r="O20" s="258"/>
    </row>
    <row r="21" spans="1:15" ht="14.15" customHeight="1" x14ac:dyDescent="0.3">
      <c r="A21" s="370"/>
      <c r="B21" s="443"/>
      <c r="C21" s="3"/>
      <c r="D21" s="7"/>
      <c r="E21" s="37"/>
      <c r="F21" s="41"/>
      <c r="G21" s="348"/>
      <c r="H21" s="371"/>
      <c r="I21" s="66"/>
      <c r="J21" s="66"/>
      <c r="K21" s="349"/>
      <c r="L21" s="350"/>
      <c r="M21" s="351"/>
      <c r="N21" s="258"/>
      <c r="O21" s="258"/>
    </row>
    <row r="22" spans="1:15" ht="14.15" customHeight="1" x14ac:dyDescent="0.3">
      <c r="A22" s="370" t="s">
        <v>99</v>
      </c>
      <c r="B22" s="443"/>
      <c r="C22" s="3"/>
      <c r="D22" s="7"/>
      <c r="E22" s="37"/>
      <c r="F22" s="41"/>
      <c r="G22" s="348"/>
      <c r="H22" s="371"/>
      <c r="I22" s="66"/>
      <c r="J22" s="66"/>
      <c r="K22" s="349"/>
      <c r="L22" s="350"/>
      <c r="M22" s="351"/>
      <c r="N22" s="258"/>
      <c r="O22" s="258"/>
    </row>
    <row r="23" spans="1:15" ht="28.5" customHeight="1" thickBot="1" x14ac:dyDescent="0.35">
      <c r="A23" s="374"/>
      <c r="B23" s="446" t="s">
        <v>100</v>
      </c>
      <c r="C23" s="67" t="s">
        <v>85</v>
      </c>
      <c r="D23" s="68">
        <v>2</v>
      </c>
      <c r="E23" s="69">
        <f>1888.71*1.15</f>
        <v>2172.0164999999997</v>
      </c>
      <c r="F23" s="52">
        <v>0.2</v>
      </c>
      <c r="G23" s="376">
        <f>E23/(1-F23)</f>
        <v>2715.0206249999997</v>
      </c>
      <c r="H23" s="377">
        <f>250*1</f>
        <v>250</v>
      </c>
      <c r="I23" s="83">
        <v>0.15</v>
      </c>
      <c r="J23" s="79">
        <f>H23*(1+I23)</f>
        <v>287.5</v>
      </c>
      <c r="K23" s="349">
        <f>J23*D23</f>
        <v>575</v>
      </c>
      <c r="L23" s="350">
        <f>G23+J23</f>
        <v>3002.5206249999997</v>
      </c>
      <c r="M23" s="378">
        <f>D23*L23</f>
        <v>6005.0412499999993</v>
      </c>
      <c r="N23" s="258"/>
      <c r="O23" s="258"/>
    </row>
    <row r="24" spans="1:15" ht="14.5" customHeight="1" thickBot="1" x14ac:dyDescent="0.35">
      <c r="A24" s="354"/>
      <c r="B24" s="441"/>
      <c r="C24" s="71"/>
      <c r="D24" s="72"/>
      <c r="E24" s="73"/>
      <c r="F24" s="74"/>
      <c r="G24" s="356"/>
      <c r="H24" s="356"/>
      <c r="I24" s="73"/>
      <c r="J24" s="73"/>
      <c r="K24" s="357"/>
      <c r="L24" s="358"/>
      <c r="M24" s="358"/>
      <c r="N24" s="258"/>
      <c r="O24" s="258"/>
    </row>
    <row r="25" spans="1:15" ht="14.15" customHeight="1" x14ac:dyDescent="0.3">
      <c r="A25" s="379">
        <v>2.5</v>
      </c>
      <c r="B25" s="360"/>
      <c r="C25" s="255"/>
      <c r="D25" s="58" t="s">
        <v>101</v>
      </c>
      <c r="E25" s="56"/>
      <c r="F25" s="57"/>
      <c r="G25" s="361"/>
      <c r="H25" s="361"/>
      <c r="I25" s="56"/>
      <c r="J25" s="56"/>
      <c r="K25" s="362"/>
      <c r="L25" s="363"/>
      <c r="M25" s="363"/>
      <c r="N25" s="258"/>
      <c r="O25" s="258"/>
    </row>
    <row r="26" spans="1:15" ht="14.15" customHeight="1" x14ac:dyDescent="0.3">
      <c r="A26" s="380" t="s">
        <v>102</v>
      </c>
      <c r="B26" s="444" t="s">
        <v>103</v>
      </c>
      <c r="C26" s="3" t="s">
        <v>85</v>
      </c>
      <c r="D26" s="7">
        <v>1</v>
      </c>
      <c r="E26" s="37">
        <v>650</v>
      </c>
      <c r="F26" s="41">
        <v>0.2</v>
      </c>
      <c r="G26" s="348">
        <f>E26/(1-F26)</f>
        <v>812.5</v>
      </c>
      <c r="H26" s="371">
        <f>(((5*200)*4)*1.2)/D26</f>
        <v>4800</v>
      </c>
      <c r="I26" s="83">
        <v>0.15</v>
      </c>
      <c r="J26" s="79">
        <f>H26*(1+I26)</f>
        <v>5520</v>
      </c>
      <c r="K26" s="349">
        <f>J26*D26</f>
        <v>5520</v>
      </c>
      <c r="L26" s="350">
        <f>G26+J26</f>
        <v>6332.5</v>
      </c>
      <c r="M26" s="351">
        <f>D26*L26</f>
        <v>6332.5</v>
      </c>
      <c r="N26" s="258"/>
      <c r="O26" s="258"/>
    </row>
    <row r="27" spans="1:15" ht="14.5" customHeight="1" thickBot="1" x14ac:dyDescent="0.35">
      <c r="A27" s="381"/>
      <c r="B27" s="446" t="s">
        <v>104</v>
      </c>
      <c r="C27" s="49"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441"/>
      <c r="C28" s="71"/>
      <c r="D28" s="72"/>
      <c r="E28" s="73"/>
      <c r="F28" s="74"/>
      <c r="G28" s="356"/>
      <c r="H28" s="356"/>
      <c r="I28" s="73"/>
      <c r="J28" s="73"/>
      <c r="K28" s="357"/>
      <c r="L28" s="358"/>
      <c r="M28" s="358"/>
      <c r="N28" s="258"/>
      <c r="O28" s="258"/>
    </row>
    <row r="29" spans="1:15" ht="14.15" customHeight="1" x14ac:dyDescent="0.3">
      <c r="A29" s="359">
        <v>2.6</v>
      </c>
      <c r="B29" s="360"/>
      <c r="C29" s="255"/>
      <c r="D29" s="58" t="s">
        <v>105</v>
      </c>
      <c r="E29" s="56"/>
      <c r="F29" s="57"/>
      <c r="G29" s="361"/>
      <c r="H29" s="361"/>
      <c r="I29" s="56"/>
      <c r="J29" s="56"/>
      <c r="K29" s="362"/>
      <c r="L29" s="363"/>
      <c r="M29" s="363"/>
      <c r="N29" s="258"/>
      <c r="O29" s="258"/>
    </row>
    <row r="30" spans="1:15" ht="42" customHeight="1" x14ac:dyDescent="0.3">
      <c r="A30" s="341" t="s">
        <v>106</v>
      </c>
      <c r="B30" s="444" t="s">
        <v>107</v>
      </c>
      <c r="C30" s="30" t="s">
        <v>108</v>
      </c>
      <c r="D30" s="28">
        <v>0</v>
      </c>
      <c r="E30" s="36">
        <f>14.85*1.15</f>
        <v>17.077499999999997</v>
      </c>
      <c r="F30" s="41">
        <v>0.2</v>
      </c>
      <c r="G30" s="348">
        <f>E30/(1-F30)</f>
        <v>21.346874999999994</v>
      </c>
      <c r="H30" s="348">
        <f>39</f>
        <v>39</v>
      </c>
      <c r="I30" s="83">
        <v>0.15</v>
      </c>
      <c r="J30" s="79">
        <f>H30*(1+I30)</f>
        <v>44.849999999999994</v>
      </c>
      <c r="K30" s="349">
        <f>J30*D30</f>
        <v>0</v>
      </c>
      <c r="L30" s="350">
        <f>G30+J30</f>
        <v>66.196874999999991</v>
      </c>
      <c r="M30" s="351">
        <f>D30*L30</f>
        <v>0</v>
      </c>
      <c r="N30" s="258"/>
      <c r="O30" s="258"/>
    </row>
    <row r="31" spans="1:15" ht="14.15" customHeight="1" x14ac:dyDescent="0.3">
      <c r="A31" s="341" t="s">
        <v>109</v>
      </c>
      <c r="B31" s="443" t="s">
        <v>110</v>
      </c>
      <c r="C31" s="30" t="s">
        <v>108</v>
      </c>
      <c r="D31" s="1">
        <f>16 +N("2m * 8 cables")</f>
        <v>16</v>
      </c>
      <c r="E31" s="36">
        <f>180*1.15</f>
        <v>206.99999999999997</v>
      </c>
      <c r="F31" s="41">
        <v>0.2</v>
      </c>
      <c r="G31" s="348">
        <f>E31/(1-F31)</f>
        <v>258.74999999999994</v>
      </c>
      <c r="H31" s="348">
        <f>65</f>
        <v>65</v>
      </c>
      <c r="I31" s="83">
        <v>0.15</v>
      </c>
      <c r="J31" s="79">
        <f>H31*(1+I31)</f>
        <v>74.75</v>
      </c>
      <c r="K31" s="349">
        <f>J31*D31</f>
        <v>1196</v>
      </c>
      <c r="L31" s="350">
        <f>G31+J31</f>
        <v>333.49999999999994</v>
      </c>
      <c r="M31" s="351">
        <f>D31*L31</f>
        <v>5335.9999999999991</v>
      </c>
      <c r="N31" s="258"/>
      <c r="O31" s="258"/>
    </row>
    <row r="32" spans="1:15" ht="14.15" customHeight="1" x14ac:dyDescent="0.3">
      <c r="A32" s="341" t="s">
        <v>111</v>
      </c>
      <c r="B32" s="443" t="s">
        <v>112</v>
      </c>
      <c r="C32" s="30"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258"/>
    </row>
    <row r="33" spans="1:15" ht="14.5" customHeight="1" thickBot="1" x14ac:dyDescent="0.35">
      <c r="A33" s="381"/>
      <c r="B33" s="447" t="s">
        <v>113</v>
      </c>
      <c r="C33" s="30"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441"/>
      <c r="C34" s="71"/>
      <c r="D34" s="72"/>
      <c r="E34" s="73"/>
      <c r="F34" s="74"/>
      <c r="G34" s="356"/>
      <c r="H34" s="356"/>
      <c r="I34" s="73"/>
      <c r="J34" s="73"/>
      <c r="K34" s="357"/>
      <c r="L34" s="358"/>
      <c r="M34" s="358"/>
      <c r="N34" s="258"/>
      <c r="O34" s="258"/>
    </row>
    <row r="35" spans="1:15" ht="14.15" customHeight="1" x14ac:dyDescent="0.3">
      <c r="A35" s="359">
        <v>2.7</v>
      </c>
      <c r="B35" s="360"/>
      <c r="C35" s="255"/>
      <c r="D35" s="58" t="s">
        <v>114</v>
      </c>
      <c r="E35" s="56"/>
      <c r="F35" s="57"/>
      <c r="G35" s="361"/>
      <c r="H35" s="361"/>
      <c r="I35" s="56"/>
      <c r="J35" s="56"/>
      <c r="K35" s="362"/>
      <c r="L35" s="363"/>
      <c r="M35" s="363"/>
      <c r="N35" s="258"/>
      <c r="O35" s="258"/>
    </row>
    <row r="36" spans="1:15" ht="28" customHeight="1" x14ac:dyDescent="0.3">
      <c r="A36" s="370" t="s">
        <v>115</v>
      </c>
      <c r="B36" s="444" t="s">
        <v>116</v>
      </c>
      <c r="C36" s="3" t="s">
        <v>85</v>
      </c>
      <c r="D36" s="3">
        <v>0</v>
      </c>
      <c r="E36" s="37">
        <f>13501.37*1.2</f>
        <v>16201.644</v>
      </c>
      <c r="F36" s="41">
        <v>0.2</v>
      </c>
      <c r="G36" s="348">
        <f>E36/(1-F36)</f>
        <v>20252.055</v>
      </c>
      <c r="H36" s="371">
        <f>250*2</f>
        <v>500</v>
      </c>
      <c r="I36" s="83">
        <v>0.15</v>
      </c>
      <c r="J36" s="79">
        <f>H36*(1+I36)</f>
        <v>575</v>
      </c>
      <c r="K36" s="349">
        <f>J36*D36</f>
        <v>0</v>
      </c>
      <c r="L36" s="350">
        <f>G36+J36</f>
        <v>20827.055</v>
      </c>
      <c r="M36" s="351">
        <f>D36*L36</f>
        <v>0</v>
      </c>
      <c r="N36" s="258"/>
      <c r="O36" s="258"/>
    </row>
    <row r="37" spans="1:15" ht="28.5" customHeight="1" thickBot="1" x14ac:dyDescent="0.35">
      <c r="A37" s="381" t="s">
        <v>117</v>
      </c>
      <c r="B37" s="446" t="s">
        <v>118</v>
      </c>
      <c r="C37" s="67" t="s">
        <v>85</v>
      </c>
      <c r="D37" s="67">
        <v>0</v>
      </c>
      <c r="E37" s="69">
        <f>13501.37*1.2</f>
        <v>16201.644</v>
      </c>
      <c r="F37" s="52">
        <v>0.2</v>
      </c>
      <c r="G37" s="376">
        <f>E37/(1-F37)</f>
        <v>20252.055</v>
      </c>
      <c r="H37" s="377">
        <f>250*2</f>
        <v>500</v>
      </c>
      <c r="I37" s="83">
        <v>0.15</v>
      </c>
      <c r="J37" s="79">
        <f>H37*(1+I37)</f>
        <v>575</v>
      </c>
      <c r="K37" s="382">
        <f>J37*D37</f>
        <v>0</v>
      </c>
      <c r="L37" s="350">
        <f>G37+J37</f>
        <v>20827.055</v>
      </c>
      <c r="M37" s="378">
        <f>D37*L37</f>
        <v>0</v>
      </c>
      <c r="N37" s="258"/>
      <c r="O37" s="258"/>
    </row>
    <row r="38" spans="1:15" ht="14.5" customHeight="1" thickBot="1" x14ac:dyDescent="0.35">
      <c r="A38" s="354"/>
      <c r="B38" s="441"/>
      <c r="C38" s="71"/>
      <c r="D38" s="72"/>
      <c r="E38" s="73"/>
      <c r="F38" s="74"/>
      <c r="G38" s="356"/>
      <c r="H38" s="356"/>
      <c r="I38" s="73"/>
      <c r="J38" s="73"/>
      <c r="K38" s="357"/>
      <c r="L38" s="358"/>
      <c r="M38" s="358"/>
      <c r="N38" s="258"/>
      <c r="O38" s="258"/>
    </row>
    <row r="39" spans="1:15" ht="16.5" customHeight="1" x14ac:dyDescent="0.3">
      <c r="A39" s="359">
        <v>2.8</v>
      </c>
      <c r="B39" s="360"/>
      <c r="C39" s="255"/>
      <c r="D39" s="58" t="s">
        <v>119</v>
      </c>
      <c r="E39" s="56"/>
      <c r="F39" s="57"/>
      <c r="G39" s="361"/>
      <c r="H39" s="361"/>
      <c r="I39" s="56"/>
      <c r="J39" s="56"/>
      <c r="K39" s="362"/>
      <c r="L39" s="363"/>
      <c r="M39" s="363"/>
      <c r="N39" s="258"/>
      <c r="O39" s="258"/>
    </row>
    <row r="40" spans="1:15" ht="16.5" customHeight="1" x14ac:dyDescent="0.3">
      <c r="A40" s="384"/>
      <c r="B40" s="342"/>
      <c r="C40" s="30"/>
      <c r="D40" s="1"/>
      <c r="E40" s="36"/>
      <c r="F40" s="41"/>
      <c r="G40" s="348"/>
      <c r="H40" s="348"/>
      <c r="I40" s="83"/>
      <c r="J40" s="79"/>
      <c r="K40" s="349"/>
      <c r="L40" s="350"/>
      <c r="M40" s="351"/>
      <c r="N40" s="258"/>
      <c r="O40" s="258"/>
    </row>
    <row r="41" spans="1:15" ht="14.15" customHeight="1" x14ac:dyDescent="0.3">
      <c r="A41" s="341" t="s">
        <v>120</v>
      </c>
      <c r="B41" s="385" t="s">
        <v>121</v>
      </c>
      <c r="C41" s="30" t="s">
        <v>85</v>
      </c>
      <c r="D41" s="1">
        <v>0</v>
      </c>
      <c r="E41" s="36">
        <v>2500</v>
      </c>
      <c r="F41" s="41">
        <v>0.2</v>
      </c>
      <c r="G41" s="348">
        <f>E41/(1-F41)</f>
        <v>3125</v>
      </c>
      <c r="H41" s="348">
        <f>(250+100)*4</f>
        <v>1400</v>
      </c>
      <c r="I41" s="83">
        <v>0.15</v>
      </c>
      <c r="J41" s="79">
        <f>H41*(1+I41)</f>
        <v>1609.9999999999998</v>
      </c>
      <c r="K41" s="349">
        <f>J41*D41</f>
        <v>0</v>
      </c>
      <c r="L41" s="350">
        <f>G41+J41</f>
        <v>4735</v>
      </c>
      <c r="M41" s="351">
        <f>D41*L41</f>
        <v>0</v>
      </c>
      <c r="N41" s="258"/>
      <c r="O41" s="258"/>
    </row>
    <row r="42" spans="1:15" ht="14.15" customHeight="1" x14ac:dyDescent="0.3">
      <c r="A42" s="341"/>
      <c r="B42" s="448"/>
      <c r="C42" s="27"/>
      <c r="D42" s="1"/>
      <c r="E42" s="36"/>
      <c r="F42" s="41"/>
      <c r="G42" s="348"/>
      <c r="H42" s="348"/>
      <c r="I42" s="79"/>
      <c r="J42" s="79"/>
      <c r="K42" s="349"/>
      <c r="L42" s="350"/>
      <c r="M42" s="351"/>
      <c r="N42" s="258"/>
      <c r="O42" s="258"/>
    </row>
    <row r="43" spans="1:15" ht="14.15" customHeight="1" x14ac:dyDescent="0.3">
      <c r="A43" s="341" t="s">
        <v>122</v>
      </c>
      <c r="B43" s="385" t="s">
        <v>123</v>
      </c>
      <c r="C43" s="30" t="s">
        <v>85</v>
      </c>
      <c r="D43" s="1">
        <v>2</v>
      </c>
      <c r="E43" s="36">
        <v>1800</v>
      </c>
      <c r="F43" s="41">
        <v>0.2</v>
      </c>
      <c r="G43" s="348">
        <f>E43/(1-F43)</f>
        <v>2250</v>
      </c>
      <c r="H43" s="348">
        <f>(250+100)*4</f>
        <v>1400</v>
      </c>
      <c r="I43" s="83">
        <v>0.15</v>
      </c>
      <c r="J43" s="79">
        <f>H43*(1+I43)</f>
        <v>1609.9999999999998</v>
      </c>
      <c r="K43" s="349">
        <f>J43*D43</f>
        <v>3219.9999999999995</v>
      </c>
      <c r="L43" s="350">
        <f>G43+J43</f>
        <v>3860</v>
      </c>
      <c r="M43" s="351">
        <f>D43*L43</f>
        <v>7720</v>
      </c>
      <c r="N43" s="258"/>
      <c r="O43" s="258"/>
    </row>
    <row r="44" spans="1:15" ht="14.15" customHeight="1" x14ac:dyDescent="0.3">
      <c r="A44" s="341"/>
      <c r="B44" s="385"/>
      <c r="C44" s="30"/>
      <c r="D44" s="1"/>
      <c r="E44" s="36"/>
      <c r="F44" s="41"/>
      <c r="G44" s="348"/>
      <c r="H44" s="348"/>
      <c r="I44" s="79"/>
      <c r="J44" s="79"/>
      <c r="K44" s="349"/>
      <c r="L44" s="350"/>
      <c r="M44" s="351"/>
      <c r="N44" s="258"/>
      <c r="O44" s="258"/>
    </row>
    <row r="45" spans="1:15" ht="14.15" customHeight="1" x14ac:dyDescent="0.3">
      <c r="A45" s="341" t="s">
        <v>124</v>
      </c>
      <c r="B45" s="385" t="s">
        <v>125</v>
      </c>
      <c r="C45" s="30" t="s">
        <v>85</v>
      </c>
      <c r="D45" s="1">
        <f>8  +N("8 Isolators")</f>
        <v>8</v>
      </c>
      <c r="E45" s="36">
        <f>800</f>
        <v>800</v>
      </c>
      <c r="F45" s="41">
        <v>0.2</v>
      </c>
      <c r="G45" s="348">
        <f>E45/(1-F45)</f>
        <v>1000</v>
      </c>
      <c r="H45" s="348">
        <f>(250+100)*4</f>
        <v>1400</v>
      </c>
      <c r="I45" s="83">
        <v>0.15</v>
      </c>
      <c r="J45" s="79">
        <f>H45*(1+I45)</f>
        <v>1609.9999999999998</v>
      </c>
      <c r="K45" s="349">
        <f>J45*D45</f>
        <v>12879.999999999998</v>
      </c>
      <c r="L45" s="350">
        <f>G45+J45</f>
        <v>2610</v>
      </c>
      <c r="M45" s="351">
        <f>D45*L45</f>
        <v>20880</v>
      </c>
      <c r="N45" s="258"/>
      <c r="O45" s="258"/>
    </row>
    <row r="46" spans="1:15" ht="14.15" customHeight="1" x14ac:dyDescent="0.3">
      <c r="A46" s="341"/>
      <c r="B46" s="387"/>
      <c r="C46" s="27"/>
      <c r="D46" s="1"/>
      <c r="E46" s="36"/>
      <c r="F46" s="41"/>
      <c r="G46" s="348"/>
      <c r="H46" s="348"/>
      <c r="I46" s="79"/>
      <c r="J46" s="79"/>
      <c r="K46" s="349"/>
      <c r="L46" s="350"/>
      <c r="M46" s="351"/>
      <c r="N46" s="258"/>
      <c r="O46" s="258"/>
    </row>
    <row r="47" spans="1:15" ht="14.5" customHeight="1" thickBot="1" x14ac:dyDescent="0.35">
      <c r="A47" s="381" t="s">
        <v>126</v>
      </c>
      <c r="B47" s="388" t="s">
        <v>127</v>
      </c>
      <c r="C47" s="49" t="s">
        <v>85</v>
      </c>
      <c r="D47" s="50">
        <v>1</v>
      </c>
      <c r="E47" s="51">
        <f>550*1.2</f>
        <v>660</v>
      </c>
      <c r="F47" s="52">
        <v>0.2</v>
      </c>
      <c r="G47" s="376">
        <f>E47/(1-F47)</f>
        <v>825</v>
      </c>
      <c r="H47" s="376">
        <f>(250+100)*4</f>
        <v>1400</v>
      </c>
      <c r="I47" s="83">
        <v>0.15</v>
      </c>
      <c r="J47" s="79">
        <f>H47*(1+I47)</f>
        <v>1609.9999999999998</v>
      </c>
      <c r="K47" s="349">
        <f>J47*D47</f>
        <v>1609.9999999999998</v>
      </c>
      <c r="L47" s="350">
        <f>G47+J47</f>
        <v>2435</v>
      </c>
      <c r="M47" s="378">
        <f>D47*L47</f>
        <v>2435</v>
      </c>
      <c r="N47" s="258"/>
      <c r="O47" s="258"/>
    </row>
    <row r="48" spans="1:15" ht="14.5" customHeight="1" thickBot="1" x14ac:dyDescent="0.35">
      <c r="A48" s="354"/>
      <c r="B48" s="441"/>
      <c r="C48" s="71"/>
      <c r="D48" s="72"/>
      <c r="E48" s="73"/>
      <c r="F48" s="74"/>
      <c r="G48" s="356"/>
      <c r="H48" s="356"/>
      <c r="I48" s="73"/>
      <c r="J48" s="73"/>
      <c r="K48" s="357"/>
      <c r="L48" s="358"/>
      <c r="M48" s="358"/>
      <c r="N48" s="258"/>
      <c r="O48" s="258"/>
    </row>
    <row r="49" spans="1:15" ht="16.5" customHeight="1" x14ac:dyDescent="0.3">
      <c r="A49" s="359">
        <v>2.9</v>
      </c>
      <c r="B49" s="367"/>
      <c r="C49" s="255"/>
      <c r="D49" s="58" t="s">
        <v>128</v>
      </c>
      <c r="E49" s="56"/>
      <c r="F49" s="57"/>
      <c r="G49" s="361"/>
      <c r="H49" s="361"/>
      <c r="I49" s="56"/>
      <c r="J49" s="56"/>
      <c r="K49" s="362"/>
      <c r="L49" s="363"/>
      <c r="M49" s="363"/>
      <c r="N49" s="258"/>
      <c r="O49" s="258"/>
    </row>
    <row r="50" spans="1:15" ht="16.5" customHeight="1" x14ac:dyDescent="0.3">
      <c r="A50" s="341"/>
      <c r="B50" s="342"/>
      <c r="C50" s="30"/>
      <c r="D50" s="1"/>
      <c r="E50" s="36"/>
      <c r="F50" s="41"/>
      <c r="G50" s="348"/>
      <c r="H50" s="348"/>
      <c r="I50" s="79"/>
      <c r="J50" s="79"/>
      <c r="K50" s="349"/>
      <c r="L50" s="350"/>
      <c r="M50" s="351"/>
      <c r="N50" s="258"/>
      <c r="O50" s="258"/>
    </row>
    <row r="51" spans="1:15" ht="14.15" customHeight="1" x14ac:dyDescent="0.3">
      <c r="A51" s="341" t="s">
        <v>129</v>
      </c>
      <c r="B51" s="385" t="s">
        <v>130</v>
      </c>
      <c r="C51" s="30" t="s">
        <v>85</v>
      </c>
      <c r="D51" s="1">
        <v>0</v>
      </c>
      <c r="E51" s="36">
        <v>2500</v>
      </c>
      <c r="F51" s="41">
        <v>0.2</v>
      </c>
      <c r="G51" s="348">
        <f>E51/(1-F51)</f>
        <v>3125</v>
      </c>
      <c r="H51" s="348">
        <f>250*1</f>
        <v>250</v>
      </c>
      <c r="I51" s="83">
        <v>0.15</v>
      </c>
      <c r="J51" s="79">
        <f>H51*(1+I51)</f>
        <v>287.5</v>
      </c>
      <c r="K51" s="349">
        <f>J51*D51</f>
        <v>0</v>
      </c>
      <c r="L51" s="350">
        <f>G51+J51</f>
        <v>3412.5</v>
      </c>
      <c r="M51" s="351">
        <f>D51*L51</f>
        <v>0</v>
      </c>
      <c r="N51" s="258"/>
      <c r="O51" s="258"/>
    </row>
    <row r="52" spans="1:15" ht="14.15" customHeight="1" x14ac:dyDescent="0.3">
      <c r="A52" s="341"/>
      <c r="B52" s="385"/>
      <c r="C52" s="30"/>
      <c r="D52" s="1"/>
      <c r="E52" s="36"/>
      <c r="F52" s="41"/>
      <c r="G52" s="348"/>
      <c r="H52" s="348"/>
      <c r="I52" s="79"/>
      <c r="J52" s="79"/>
      <c r="K52" s="349"/>
      <c r="L52" s="350"/>
      <c r="M52" s="351"/>
      <c r="N52" s="258"/>
      <c r="O52" s="258"/>
    </row>
    <row r="53" spans="1:15" ht="14.15" customHeight="1" x14ac:dyDescent="0.3">
      <c r="A53" s="341" t="s">
        <v>131</v>
      </c>
      <c r="B53" s="385" t="s">
        <v>132</v>
      </c>
      <c r="C53" s="30" t="s">
        <v>85</v>
      </c>
      <c r="D53" s="1">
        <f>8 + N("6 DB's + 1 for AC In + 1 for AC out")</f>
        <v>8</v>
      </c>
      <c r="E53" s="36">
        <v>5729</v>
      </c>
      <c r="F53" s="41">
        <v>0.2</v>
      </c>
      <c r="G53" s="348">
        <f>E53/(1-F53)</f>
        <v>7161.25</v>
      </c>
      <c r="H53" s="348">
        <v>250</v>
      </c>
      <c r="I53" s="83">
        <v>0.15</v>
      </c>
      <c r="J53" s="79">
        <f>H53*(1+I53)</f>
        <v>287.5</v>
      </c>
      <c r="K53" s="349">
        <f>J53*D53</f>
        <v>2300</v>
      </c>
      <c r="L53" s="350">
        <f>G53+J53</f>
        <v>7448.75</v>
      </c>
      <c r="M53" s="351">
        <f>D53*L53</f>
        <v>59590</v>
      </c>
      <c r="N53" s="258"/>
      <c r="O53" s="258"/>
    </row>
    <row r="54" spans="1:15" ht="14.15" customHeight="1" x14ac:dyDescent="0.3">
      <c r="A54" s="341"/>
      <c r="B54" s="387"/>
      <c r="C54" s="27"/>
      <c r="D54" s="1"/>
      <c r="E54" s="36"/>
      <c r="F54" s="41"/>
      <c r="G54" s="348"/>
      <c r="H54" s="348"/>
      <c r="I54" s="79"/>
      <c r="J54" s="79"/>
      <c r="K54" s="349"/>
      <c r="L54" s="350"/>
      <c r="M54" s="351"/>
      <c r="N54" s="258"/>
      <c r="O54" s="258"/>
    </row>
    <row r="55" spans="1:15" ht="14.15" customHeight="1" x14ac:dyDescent="0.3">
      <c r="A55" s="341" t="s">
        <v>133</v>
      </c>
      <c r="B55" s="387" t="s">
        <v>134</v>
      </c>
      <c r="C55" s="30" t="s">
        <v>85</v>
      </c>
      <c r="D55" s="1">
        <v>1</v>
      </c>
      <c r="E55" s="36">
        <f>5729</f>
        <v>5729</v>
      </c>
      <c r="F55" s="41">
        <v>0.2</v>
      </c>
      <c r="G55" s="348">
        <f>E55/(1-F55)</f>
        <v>7161.25</v>
      </c>
      <c r="H55" s="348">
        <v>250</v>
      </c>
      <c r="I55" s="83">
        <v>0.15</v>
      </c>
      <c r="J55" s="79">
        <f>H55*(1+I55)</f>
        <v>287.5</v>
      </c>
      <c r="K55" s="349">
        <f>J55*D55</f>
        <v>287.5</v>
      </c>
      <c r="L55" s="350">
        <f>G55+J55</f>
        <v>7448.75</v>
      </c>
      <c r="M55" s="351">
        <f>D55*L55</f>
        <v>7448.75</v>
      </c>
      <c r="N55" s="258"/>
      <c r="O55" s="258"/>
    </row>
    <row r="56" spans="1:15" ht="14.15" customHeight="1" x14ac:dyDescent="0.3">
      <c r="A56" s="341"/>
      <c r="B56" s="387"/>
      <c r="C56" s="29"/>
      <c r="D56" s="1"/>
      <c r="E56" s="36"/>
      <c r="F56" s="41"/>
      <c r="G56" s="348"/>
      <c r="H56" s="348"/>
      <c r="I56" s="79"/>
      <c r="J56" s="79"/>
      <c r="K56" s="349"/>
      <c r="L56" s="350"/>
      <c r="M56" s="351"/>
      <c r="N56" s="258"/>
      <c r="O56" s="258"/>
    </row>
    <row r="57" spans="1:15" ht="28" customHeight="1" x14ac:dyDescent="0.3">
      <c r="A57" s="341" t="s">
        <v>135</v>
      </c>
      <c r="B57" s="385" t="s">
        <v>136</v>
      </c>
      <c r="C57" s="248" t="s">
        <v>85</v>
      </c>
      <c r="D57" s="1">
        <v>3</v>
      </c>
      <c r="E57" s="36">
        <v>350</v>
      </c>
      <c r="F57" s="41">
        <v>0.2</v>
      </c>
      <c r="G57" s="348">
        <f>E57/(1-F57)</f>
        <v>437.5</v>
      </c>
      <c r="H57" s="348">
        <v>250</v>
      </c>
      <c r="I57" s="83">
        <v>0.15</v>
      </c>
      <c r="J57" s="79">
        <f>H57*(1+I57)</f>
        <v>287.5</v>
      </c>
      <c r="K57" s="349">
        <f>J57*D57</f>
        <v>862.5</v>
      </c>
      <c r="L57" s="350">
        <f>G57+J57</f>
        <v>725</v>
      </c>
      <c r="M57" s="351">
        <f>D57*L57</f>
        <v>2175</v>
      </c>
      <c r="N57" s="258"/>
      <c r="O57" s="258"/>
    </row>
    <row r="58" spans="1:15" ht="14.15" customHeight="1" x14ac:dyDescent="0.3">
      <c r="A58" s="341"/>
      <c r="B58" s="387"/>
      <c r="C58" s="88"/>
      <c r="D58" s="1"/>
      <c r="E58" s="36"/>
      <c r="F58" s="41"/>
      <c r="G58" s="348"/>
      <c r="H58" s="348"/>
      <c r="I58" s="79"/>
      <c r="J58" s="79"/>
      <c r="K58" s="349"/>
      <c r="L58" s="350"/>
      <c r="M58" s="351"/>
      <c r="N58" s="258"/>
      <c r="O58" s="258"/>
    </row>
    <row r="59" spans="1:15" ht="14.15" customHeight="1" x14ac:dyDescent="0.3">
      <c r="A59" s="341" t="s">
        <v>137</v>
      </c>
      <c r="B59" s="385" t="s">
        <v>138</v>
      </c>
      <c r="C59" s="248" t="s">
        <v>108</v>
      </c>
      <c r="D59" s="1">
        <v>20</v>
      </c>
      <c r="E59" s="36">
        <f>35</f>
        <v>35</v>
      </c>
      <c r="F59" s="41">
        <v>0.2</v>
      </c>
      <c r="G59" s="348">
        <f>E59/(1-F59)</f>
        <v>43.75</v>
      </c>
      <c r="H59" s="348">
        <f>(65*3)</f>
        <v>195</v>
      </c>
      <c r="I59" s="83">
        <v>0.15</v>
      </c>
      <c r="J59" s="79">
        <f>H59*(1+I59)</f>
        <v>224.24999999999997</v>
      </c>
      <c r="K59" s="349">
        <f>J59*D59</f>
        <v>4484.9999999999991</v>
      </c>
      <c r="L59" s="350">
        <f>G59+J59</f>
        <v>268</v>
      </c>
      <c r="M59" s="351">
        <f>D59*L59</f>
        <v>5360</v>
      </c>
      <c r="N59" s="258"/>
      <c r="O59" s="258"/>
    </row>
    <row r="60" spans="1:15" ht="14.15" customHeight="1" x14ac:dyDescent="0.3">
      <c r="A60" s="341"/>
      <c r="B60" s="387"/>
      <c r="C60" s="29"/>
      <c r="D60" s="1"/>
      <c r="E60" s="36"/>
      <c r="F60" s="41"/>
      <c r="G60" s="348"/>
      <c r="H60" s="348"/>
      <c r="I60" s="79"/>
      <c r="J60" s="79"/>
      <c r="K60" s="349"/>
      <c r="L60" s="350"/>
      <c r="M60" s="351"/>
      <c r="N60" s="258"/>
      <c r="O60" s="258"/>
    </row>
    <row r="61" spans="1:15" ht="14.5" customHeight="1" thickBot="1" x14ac:dyDescent="0.35">
      <c r="A61" s="341" t="s">
        <v>139</v>
      </c>
      <c r="B61" s="385" t="s">
        <v>140</v>
      </c>
      <c r="C61" s="30" t="s">
        <v>42</v>
      </c>
      <c r="D61" s="1">
        <v>1</v>
      </c>
      <c r="E61" s="36">
        <v>1</v>
      </c>
      <c r="F61" s="41">
        <v>0.2</v>
      </c>
      <c r="G61" s="348">
        <f>E61/(1-F61)</f>
        <v>1.25</v>
      </c>
      <c r="H61" s="348">
        <f>2500*3</f>
        <v>7500</v>
      </c>
      <c r="I61" s="83">
        <v>0.15</v>
      </c>
      <c r="J61" s="79">
        <f>H61*(1+I61)</f>
        <v>8625</v>
      </c>
      <c r="K61" s="349">
        <f>J61*D61</f>
        <v>8625</v>
      </c>
      <c r="L61" s="350">
        <f>G61+J61</f>
        <v>8626.25</v>
      </c>
      <c r="M61" s="351">
        <f>D61*L61</f>
        <v>8626.25</v>
      </c>
      <c r="N61" s="258"/>
      <c r="O61" s="258"/>
    </row>
    <row r="62" spans="1:15" ht="14.5" customHeight="1" thickBot="1" x14ac:dyDescent="0.35">
      <c r="A62" s="354"/>
      <c r="B62" s="441"/>
      <c r="C62" s="71"/>
      <c r="D62" s="72"/>
      <c r="E62" s="73"/>
      <c r="F62" s="74"/>
      <c r="G62" s="356"/>
      <c r="H62" s="356"/>
      <c r="I62" s="73"/>
      <c r="J62" s="73"/>
      <c r="K62" s="357"/>
      <c r="L62" s="358"/>
      <c r="M62" s="358"/>
      <c r="N62" s="258"/>
      <c r="O62" s="258"/>
    </row>
    <row r="63" spans="1:15" ht="14.15" customHeight="1" x14ac:dyDescent="0.3">
      <c r="A63" s="389">
        <v>2.1</v>
      </c>
      <c r="B63" s="390"/>
      <c r="C63" s="251"/>
      <c r="D63" s="65" t="s">
        <v>141</v>
      </c>
      <c r="E63" s="53"/>
      <c r="F63" s="54"/>
      <c r="G63" s="391"/>
      <c r="H63" s="391"/>
      <c r="I63" s="53"/>
      <c r="J63" s="53"/>
      <c r="K63" s="392"/>
      <c r="L63" s="393"/>
      <c r="M63" s="393"/>
      <c r="N63" s="258"/>
      <c r="O63" s="258"/>
    </row>
    <row r="64" spans="1:15" ht="28" customHeight="1" x14ac:dyDescent="0.3">
      <c r="A64" s="370" t="s">
        <v>142</v>
      </c>
      <c r="B64" s="444" t="s">
        <v>143</v>
      </c>
      <c r="C64" s="7" t="s">
        <v>90</v>
      </c>
      <c r="D64" s="7">
        <v>3</v>
      </c>
      <c r="E64" s="37">
        <v>10000</v>
      </c>
      <c r="F64" s="41">
        <v>0.16</v>
      </c>
      <c r="G64" s="348">
        <f>E64/(1-F64)</f>
        <v>11904.761904761905</v>
      </c>
      <c r="H64" s="371">
        <v>200</v>
      </c>
      <c r="I64" s="83">
        <v>0.15</v>
      </c>
      <c r="J64" s="79">
        <f>H64*(1+I64)</f>
        <v>229.99999999999997</v>
      </c>
      <c r="K64" s="349">
        <f>J64*D64</f>
        <v>689.99999999999989</v>
      </c>
      <c r="L64" s="350">
        <f>G64+J64</f>
        <v>12134.761904761905</v>
      </c>
      <c r="M64" s="351">
        <f>D64*L64</f>
        <v>36404.28571428571</v>
      </c>
      <c r="N64" s="258"/>
      <c r="O64" s="258"/>
    </row>
    <row r="65" spans="1:15" ht="14.15" customHeight="1" x14ac:dyDescent="0.3">
      <c r="A65" s="394"/>
      <c r="B65" s="395"/>
      <c r="C65" s="30"/>
      <c r="D65" s="248"/>
      <c r="E65" s="36"/>
      <c r="F65" s="41"/>
      <c r="G65" s="348"/>
      <c r="H65" s="348"/>
      <c r="I65" s="79"/>
      <c r="J65" s="79"/>
      <c r="K65" s="349"/>
      <c r="L65" s="350"/>
      <c r="M65" s="351"/>
      <c r="N65" s="258"/>
      <c r="O65" s="258"/>
    </row>
    <row r="66" spans="1:15" ht="28.5" customHeight="1" thickBot="1" x14ac:dyDescent="0.35">
      <c r="A66" s="396" t="s">
        <v>144</v>
      </c>
      <c r="B66" s="446" t="s">
        <v>145</v>
      </c>
      <c r="C66" s="67" t="s">
        <v>90</v>
      </c>
      <c r="D66" s="67">
        <v>0</v>
      </c>
      <c r="E66" s="69">
        <v>7500</v>
      </c>
      <c r="F66" s="52">
        <v>0.16</v>
      </c>
      <c r="G66" s="376">
        <f>E66/(1-F66)</f>
        <v>8928.5714285714294</v>
      </c>
      <c r="H66" s="377">
        <v>200</v>
      </c>
      <c r="I66" s="83">
        <v>0.15</v>
      </c>
      <c r="J66" s="79">
        <f>H66*(1+I66)</f>
        <v>229.99999999999997</v>
      </c>
      <c r="K66" s="382">
        <f>J66*D66</f>
        <v>0</v>
      </c>
      <c r="L66" s="350">
        <f>G66+J66</f>
        <v>9158.5714285714294</v>
      </c>
      <c r="M66" s="378">
        <f>D66*L66</f>
        <v>0</v>
      </c>
      <c r="N66" s="258"/>
      <c r="O66" s="258"/>
    </row>
    <row r="67" spans="1:15" ht="14.5" customHeight="1" thickBot="1" x14ac:dyDescent="0.35">
      <c r="A67" s="397"/>
      <c r="B67" s="449"/>
      <c r="C67" s="71"/>
      <c r="D67" s="72"/>
      <c r="E67" s="73"/>
      <c r="F67" s="74"/>
      <c r="G67" s="356"/>
      <c r="H67" s="356"/>
      <c r="I67" s="73"/>
      <c r="J67" s="73"/>
      <c r="K67" s="357"/>
      <c r="L67" s="358"/>
      <c r="M67" s="358"/>
      <c r="N67" s="258"/>
      <c r="O67" s="258"/>
    </row>
    <row r="68" spans="1:15" ht="14.15" customHeight="1" x14ac:dyDescent="0.3">
      <c r="A68" s="359">
        <v>2.11</v>
      </c>
      <c r="B68" s="450"/>
      <c r="C68" s="75"/>
      <c r="D68" s="58" t="s">
        <v>146</v>
      </c>
      <c r="E68" s="56"/>
      <c r="F68" s="57"/>
      <c r="G68" s="361"/>
      <c r="H68" s="361"/>
      <c r="I68" s="56"/>
      <c r="J68" s="56"/>
      <c r="K68" s="362"/>
      <c r="L68" s="363"/>
      <c r="M68" s="363"/>
      <c r="N68" s="258"/>
      <c r="O68" s="258"/>
    </row>
    <row r="69" spans="1:15" ht="14.15" customHeight="1" x14ac:dyDescent="0.3">
      <c r="A69" s="341"/>
      <c r="B69" s="444"/>
      <c r="C69" s="70"/>
      <c r="D69" s="1"/>
      <c r="E69" s="36"/>
      <c r="F69" s="41"/>
      <c r="G69" s="348"/>
      <c r="H69" s="348"/>
      <c r="I69" s="79"/>
      <c r="J69" s="79"/>
      <c r="K69" s="349"/>
      <c r="L69" s="350"/>
      <c r="M69" s="351"/>
      <c r="N69" s="258"/>
      <c r="O69" s="258"/>
    </row>
    <row r="70" spans="1:15" ht="14.15" customHeight="1" x14ac:dyDescent="0.3">
      <c r="A70" s="341"/>
      <c r="B70" s="443" t="s">
        <v>147</v>
      </c>
      <c r="C70" s="27"/>
      <c r="D70" s="1"/>
      <c r="E70" s="36"/>
      <c r="F70" s="41"/>
      <c r="G70" s="348"/>
      <c r="H70" s="348"/>
      <c r="I70" s="79"/>
      <c r="J70" s="79"/>
      <c r="K70" s="349"/>
      <c r="L70" s="350"/>
      <c r="M70" s="351"/>
      <c r="N70" s="258"/>
      <c r="O70" s="258"/>
    </row>
    <row r="71" spans="1:15" ht="14.15" customHeight="1" x14ac:dyDescent="0.3">
      <c r="A71" s="341"/>
      <c r="B71" s="448"/>
      <c r="C71" s="27"/>
      <c r="D71" s="1"/>
      <c r="E71" s="36"/>
      <c r="F71" s="41"/>
      <c r="G71" s="348"/>
      <c r="H71" s="348"/>
      <c r="I71" s="79"/>
      <c r="J71" s="79"/>
      <c r="K71" s="349"/>
      <c r="L71" s="350"/>
      <c r="M71" s="351"/>
      <c r="N71" s="258"/>
      <c r="O71" s="258"/>
    </row>
    <row r="72" spans="1:15" ht="42" customHeight="1" x14ac:dyDescent="0.3">
      <c r="A72" s="341"/>
      <c r="B72" s="448" t="s">
        <v>148</v>
      </c>
      <c r="C72" s="27"/>
      <c r="D72" s="248"/>
      <c r="E72" s="36"/>
      <c r="F72" s="41"/>
      <c r="G72" s="348"/>
      <c r="H72" s="348"/>
      <c r="I72" s="79"/>
      <c r="J72" s="79"/>
      <c r="K72" s="349"/>
      <c r="L72" s="350"/>
      <c r="M72" s="351"/>
      <c r="N72" s="258"/>
      <c r="O72" s="258"/>
    </row>
    <row r="73" spans="1:15" ht="14.15" customHeight="1" x14ac:dyDescent="0.3">
      <c r="A73" s="384"/>
      <c r="B73" s="443"/>
      <c r="C73" s="27"/>
      <c r="D73" s="28"/>
      <c r="E73" s="38"/>
      <c r="F73" s="41"/>
      <c r="G73" s="348"/>
      <c r="H73" s="400"/>
      <c r="I73" s="81"/>
      <c r="J73" s="81"/>
      <c r="K73" s="349"/>
      <c r="L73" s="350"/>
      <c r="M73" s="351"/>
      <c r="N73" s="258"/>
      <c r="O73" s="258"/>
    </row>
    <row r="74" spans="1:15" ht="14.15" customHeight="1" x14ac:dyDescent="0.3">
      <c r="A74" s="341" t="s">
        <v>149</v>
      </c>
      <c r="B74" s="443" t="s">
        <v>150</v>
      </c>
      <c r="C74" s="27" t="s">
        <v>108</v>
      </c>
      <c r="D74" s="1">
        <v>0</v>
      </c>
      <c r="E74" s="36">
        <v>947.75</v>
      </c>
      <c r="F74" s="41">
        <v>0.25</v>
      </c>
      <c r="G74" s="348">
        <f t="shared" ref="G74:G79" si="0">E74/(1-F74)</f>
        <v>1263.6666666666667</v>
      </c>
      <c r="H74" s="348">
        <v>25</v>
      </c>
      <c r="I74" s="83">
        <v>0.15</v>
      </c>
      <c r="J74" s="79">
        <f t="shared" ref="J74:J79" si="1">H74*(1+I74)</f>
        <v>28.749999999999996</v>
      </c>
      <c r="K74" s="349">
        <f t="shared" ref="K74:K79" si="2">J74*D74</f>
        <v>0</v>
      </c>
      <c r="L74" s="350">
        <f t="shared" ref="L74:L79" si="3">G74+J74</f>
        <v>1292.4166666666667</v>
      </c>
      <c r="M74" s="351">
        <f t="shared" ref="M74:M79" si="4">D74*L74</f>
        <v>0</v>
      </c>
      <c r="N74" s="258"/>
      <c r="O74" s="258"/>
    </row>
    <row r="75" spans="1:15" ht="14.15" customHeight="1" x14ac:dyDescent="0.3">
      <c r="A75" s="341" t="s">
        <v>151</v>
      </c>
      <c r="B75" s="443" t="s">
        <v>152</v>
      </c>
      <c r="C75" s="27" t="s">
        <v>108</v>
      </c>
      <c r="D75" s="1">
        <v>0</v>
      </c>
      <c r="E75" s="36">
        <v>686.12</v>
      </c>
      <c r="F75" s="41">
        <v>0.25</v>
      </c>
      <c r="G75" s="348">
        <f t="shared" si="0"/>
        <v>914.82666666666671</v>
      </c>
      <c r="H75" s="348">
        <v>25</v>
      </c>
      <c r="I75" s="83">
        <v>0.15</v>
      </c>
      <c r="J75" s="79">
        <f t="shared" si="1"/>
        <v>28.749999999999996</v>
      </c>
      <c r="K75" s="349">
        <f t="shared" si="2"/>
        <v>0</v>
      </c>
      <c r="L75" s="350">
        <f t="shared" si="3"/>
        <v>943.57666666666671</v>
      </c>
      <c r="M75" s="351">
        <f t="shared" si="4"/>
        <v>0</v>
      </c>
      <c r="N75" s="258"/>
      <c r="O75" s="258"/>
    </row>
    <row r="76" spans="1:15" ht="14.15" customHeight="1" x14ac:dyDescent="0.3">
      <c r="A76" s="341" t="s">
        <v>153</v>
      </c>
      <c r="B76" s="443" t="s">
        <v>154</v>
      </c>
      <c r="C76" s="27" t="s">
        <v>108</v>
      </c>
      <c r="D76" s="1">
        <f>65 + N("15m for AC In and 50m for distribution to first floor dbs")</f>
        <v>65</v>
      </c>
      <c r="E76" s="36">
        <v>538.9</v>
      </c>
      <c r="F76" s="41">
        <v>0.25</v>
      </c>
      <c r="G76" s="348">
        <f t="shared" si="0"/>
        <v>718.5333333333333</v>
      </c>
      <c r="H76" s="348">
        <v>25</v>
      </c>
      <c r="I76" s="83">
        <v>0.15</v>
      </c>
      <c r="J76" s="79">
        <f t="shared" si="1"/>
        <v>28.749999999999996</v>
      </c>
      <c r="K76" s="349">
        <f t="shared" si="2"/>
        <v>1868.7499999999998</v>
      </c>
      <c r="L76" s="350">
        <f t="shared" si="3"/>
        <v>747.2833333333333</v>
      </c>
      <c r="M76" s="351">
        <f t="shared" si="4"/>
        <v>48573.416666666664</v>
      </c>
      <c r="N76" s="258"/>
      <c r="O76" s="258"/>
    </row>
    <row r="77" spans="1:15" ht="14.15" customHeight="1" x14ac:dyDescent="0.3">
      <c r="A77" s="341" t="s">
        <v>155</v>
      </c>
      <c r="B77" s="443" t="s">
        <v>156</v>
      </c>
      <c r="C77" s="29" t="s">
        <v>108</v>
      </c>
      <c r="D77" s="1">
        <v>0</v>
      </c>
      <c r="E77" s="36">
        <v>450</v>
      </c>
      <c r="F77" s="41">
        <v>0.25</v>
      </c>
      <c r="G77" s="348">
        <f t="shared" si="0"/>
        <v>600</v>
      </c>
      <c r="H77" s="348">
        <v>25</v>
      </c>
      <c r="I77" s="83">
        <v>0.15</v>
      </c>
      <c r="J77" s="79">
        <f t="shared" si="1"/>
        <v>28.749999999999996</v>
      </c>
      <c r="K77" s="349">
        <f t="shared" si="2"/>
        <v>0</v>
      </c>
      <c r="L77" s="350">
        <f t="shared" si="3"/>
        <v>628.75</v>
      </c>
      <c r="M77" s="351">
        <f t="shared" si="4"/>
        <v>0</v>
      </c>
      <c r="N77" s="258"/>
      <c r="O77" s="258"/>
    </row>
    <row r="78" spans="1:15" ht="14.15" customHeight="1" x14ac:dyDescent="0.3">
      <c r="A78" s="341" t="s">
        <v>157</v>
      </c>
      <c r="B78" s="443" t="s">
        <v>158</v>
      </c>
      <c r="C78" s="29" t="s">
        <v>108</v>
      </c>
      <c r="D78" s="1">
        <f>60 + N("20m to each sub DB on second floor")</f>
        <v>60</v>
      </c>
      <c r="E78" s="36">
        <v>380</v>
      </c>
      <c r="F78" s="41">
        <v>0.25</v>
      </c>
      <c r="G78" s="348">
        <f t="shared" si="0"/>
        <v>506.66666666666669</v>
      </c>
      <c r="H78" s="348">
        <v>25</v>
      </c>
      <c r="I78" s="83">
        <v>0.15</v>
      </c>
      <c r="J78" s="79">
        <f t="shared" si="1"/>
        <v>28.749999999999996</v>
      </c>
      <c r="K78" s="349">
        <f t="shared" si="2"/>
        <v>1724.9999999999998</v>
      </c>
      <c r="L78" s="350">
        <f t="shared" si="3"/>
        <v>535.41666666666663</v>
      </c>
      <c r="M78" s="351">
        <f t="shared" si="4"/>
        <v>32124.999999999996</v>
      </c>
      <c r="N78" s="258"/>
      <c r="O78" s="258"/>
    </row>
    <row r="79" spans="1:15" ht="14.5" customHeight="1" thickBot="1" x14ac:dyDescent="0.35">
      <c r="A79" s="381" t="s">
        <v>159</v>
      </c>
      <c r="B79" s="446" t="s">
        <v>160</v>
      </c>
      <c r="C79" s="76" t="s">
        <v>108</v>
      </c>
      <c r="D79" s="50">
        <v>0</v>
      </c>
      <c r="E79" s="51">
        <f>215</f>
        <v>215</v>
      </c>
      <c r="F79" s="52">
        <v>0.25</v>
      </c>
      <c r="G79" s="376">
        <f t="shared" si="0"/>
        <v>286.66666666666669</v>
      </c>
      <c r="H79" s="376">
        <v>25</v>
      </c>
      <c r="I79" s="83">
        <v>0.15</v>
      </c>
      <c r="J79" s="79">
        <f t="shared" si="1"/>
        <v>28.749999999999996</v>
      </c>
      <c r="K79" s="349">
        <f t="shared" si="2"/>
        <v>0</v>
      </c>
      <c r="L79" s="350">
        <f t="shared" si="3"/>
        <v>315.41666666666669</v>
      </c>
      <c r="M79" s="378">
        <f t="shared" si="4"/>
        <v>0</v>
      </c>
      <c r="N79" s="258"/>
      <c r="O79" s="258"/>
    </row>
    <row r="80" spans="1:15" ht="14.5" customHeight="1" thickBot="1" x14ac:dyDescent="0.35">
      <c r="A80" s="397"/>
      <c r="B80" s="449"/>
      <c r="C80" s="71"/>
      <c r="D80" s="72"/>
      <c r="E80" s="73"/>
      <c r="F80" s="74"/>
      <c r="G80" s="356"/>
      <c r="H80" s="356"/>
      <c r="I80" s="73"/>
      <c r="J80" s="73"/>
      <c r="K80" s="357"/>
      <c r="L80" s="358"/>
      <c r="M80" s="358"/>
      <c r="N80" s="258"/>
      <c r="O80" s="258"/>
    </row>
    <row r="81" spans="1:15" ht="14.15" customHeight="1" x14ac:dyDescent="0.3">
      <c r="A81" s="359">
        <v>2.12</v>
      </c>
      <c r="B81" s="450"/>
      <c r="C81" s="75"/>
      <c r="D81" s="58" t="s">
        <v>161</v>
      </c>
      <c r="E81" s="56"/>
      <c r="F81" s="57"/>
      <c r="G81" s="361"/>
      <c r="H81" s="361"/>
      <c r="I81" s="56"/>
      <c r="J81" s="56"/>
      <c r="K81" s="362"/>
      <c r="L81" s="363"/>
      <c r="M81" s="363"/>
      <c r="N81" s="258"/>
      <c r="O81" s="258"/>
    </row>
    <row r="82" spans="1:15" ht="14.15" customHeight="1" x14ac:dyDescent="0.3">
      <c r="A82" s="341"/>
      <c r="B82" s="444"/>
      <c r="C82" s="29"/>
      <c r="D82" s="1"/>
      <c r="E82" s="36"/>
      <c r="F82" s="41"/>
      <c r="G82" s="348"/>
      <c r="H82" s="348"/>
      <c r="I82" s="79"/>
      <c r="J82" s="79"/>
      <c r="K82" s="349"/>
      <c r="L82" s="350"/>
      <c r="M82" s="351"/>
      <c r="N82" s="258"/>
      <c r="O82" s="258"/>
    </row>
    <row r="83" spans="1:15" ht="14.15" customHeight="1" x14ac:dyDescent="0.3">
      <c r="A83" s="341" t="s">
        <v>162</v>
      </c>
      <c r="B83" s="443" t="s">
        <v>163</v>
      </c>
      <c r="C83" s="29" t="s">
        <v>108</v>
      </c>
      <c r="D83" s="1">
        <f>8 +N("Wiring of AC-In DB")</f>
        <v>8</v>
      </c>
      <c r="E83" s="36">
        <v>109.45</v>
      </c>
      <c r="F83" s="41">
        <v>0.2</v>
      </c>
      <c r="G83" s="348">
        <f>E83/(1-F83)</f>
        <v>136.8125</v>
      </c>
      <c r="H83" s="348">
        <v>50</v>
      </c>
      <c r="I83" s="83">
        <v>0.15</v>
      </c>
      <c r="J83" s="79">
        <f>H83*(1+I83)</f>
        <v>57.499999999999993</v>
      </c>
      <c r="K83" s="349">
        <f>J83*D83</f>
        <v>459.99999999999994</v>
      </c>
      <c r="L83" s="350">
        <f>G83+J83</f>
        <v>194.3125</v>
      </c>
      <c r="M83" s="351">
        <f>D83*L83</f>
        <v>1554.5</v>
      </c>
      <c r="N83" s="258"/>
      <c r="O83" s="258"/>
    </row>
    <row r="84" spans="1:15" ht="14.15" customHeight="1" x14ac:dyDescent="0.3">
      <c r="A84" s="341"/>
      <c r="B84" s="443" t="s">
        <v>164</v>
      </c>
      <c r="C84" s="29" t="s">
        <v>108</v>
      </c>
      <c r="D84" s="1">
        <v>0</v>
      </c>
      <c r="E84" s="36">
        <v>70.599999999999994</v>
      </c>
      <c r="F84" s="41">
        <v>0.2</v>
      </c>
      <c r="G84" s="348">
        <f>E84/(1-F84)</f>
        <v>88.249999999999986</v>
      </c>
      <c r="H84" s="348">
        <v>50</v>
      </c>
      <c r="I84" s="83">
        <v>0.15</v>
      </c>
      <c r="J84" s="79">
        <f>H84*(1+I84)</f>
        <v>57.499999999999993</v>
      </c>
      <c r="K84" s="349">
        <f>J84*D84</f>
        <v>0</v>
      </c>
      <c r="L84" s="350">
        <f>G84+J84</f>
        <v>145.74999999999997</v>
      </c>
      <c r="M84" s="351">
        <f>D84*L84</f>
        <v>0</v>
      </c>
      <c r="N84" s="258"/>
      <c r="O84" s="258"/>
    </row>
    <row r="85" spans="1:15" ht="14.5" customHeight="1" thickBot="1" x14ac:dyDescent="0.35">
      <c r="A85" s="381"/>
      <c r="B85" s="446" t="s">
        <v>165</v>
      </c>
      <c r="C85" s="76" t="s">
        <v>108</v>
      </c>
      <c r="D85" s="50">
        <f>12 + N("2m per 6 DB")</f>
        <v>12</v>
      </c>
      <c r="E85" s="51">
        <v>22.91</v>
      </c>
      <c r="F85" s="52">
        <v>0.2</v>
      </c>
      <c r="G85" s="376">
        <f>E85/(1-F85)</f>
        <v>28.637499999999999</v>
      </c>
      <c r="H85" s="376">
        <v>50</v>
      </c>
      <c r="I85" s="83">
        <v>0.15</v>
      </c>
      <c r="J85" s="79">
        <f>H85*(1+I85)</f>
        <v>57.499999999999993</v>
      </c>
      <c r="K85" s="349">
        <f>J85*D85</f>
        <v>689.99999999999989</v>
      </c>
      <c r="L85" s="350">
        <f>G85+J85</f>
        <v>86.137499999999989</v>
      </c>
      <c r="M85" s="378">
        <f>D85*L85</f>
        <v>1033.6499999999999</v>
      </c>
      <c r="N85" s="258"/>
      <c r="O85" s="258"/>
    </row>
    <row r="86" spans="1:15" ht="14.5" customHeight="1" thickBot="1" x14ac:dyDescent="0.35">
      <c r="A86" s="397"/>
      <c r="B86" s="449"/>
      <c r="C86" s="71"/>
      <c r="D86" s="72"/>
      <c r="E86" s="73"/>
      <c r="F86" s="74"/>
      <c r="G86" s="356"/>
      <c r="H86" s="356"/>
      <c r="I86" s="73"/>
      <c r="J86" s="73"/>
      <c r="K86" s="357"/>
      <c r="L86" s="358"/>
      <c r="M86" s="358"/>
      <c r="N86" s="258"/>
      <c r="O86" s="258"/>
    </row>
    <row r="87" spans="1:15" ht="14.15" customHeight="1" x14ac:dyDescent="0.3">
      <c r="A87" s="359">
        <v>2.13</v>
      </c>
      <c r="B87" s="450"/>
      <c r="C87" s="75"/>
      <c r="D87" s="58" t="s">
        <v>166</v>
      </c>
      <c r="E87" s="56"/>
      <c r="F87" s="57"/>
      <c r="G87" s="361"/>
      <c r="H87" s="361"/>
      <c r="I87" s="56"/>
      <c r="J87" s="56"/>
      <c r="K87" s="362"/>
      <c r="L87" s="363"/>
      <c r="M87" s="363"/>
      <c r="N87" s="258"/>
      <c r="O87" s="258"/>
    </row>
    <row r="88" spans="1:15" ht="14.15" customHeight="1" x14ac:dyDescent="0.3">
      <c r="A88" s="341"/>
      <c r="B88" s="444"/>
      <c r="C88" s="29"/>
      <c r="D88" s="1"/>
      <c r="E88" s="36"/>
      <c r="F88" s="41"/>
      <c r="G88" s="348"/>
      <c r="H88" s="348"/>
      <c r="I88" s="79"/>
      <c r="J88" s="79"/>
      <c r="K88" s="349"/>
      <c r="L88" s="350"/>
      <c r="M88" s="351"/>
      <c r="N88" s="258"/>
      <c r="O88" s="258"/>
    </row>
    <row r="89" spans="1:15" ht="14.15" customHeight="1" x14ac:dyDescent="0.3">
      <c r="A89" s="341" t="s">
        <v>167</v>
      </c>
      <c r="B89" s="443" t="s">
        <v>168</v>
      </c>
      <c r="C89" s="29" t="s">
        <v>108</v>
      </c>
      <c r="D89" s="1">
        <v>0</v>
      </c>
      <c r="E89" s="36">
        <v>25</v>
      </c>
      <c r="F89" s="41">
        <v>0.2</v>
      </c>
      <c r="G89" s="348">
        <f>E89/(1-F89)</f>
        <v>31.25</v>
      </c>
      <c r="H89" s="348"/>
      <c r="I89" s="83">
        <v>0.15</v>
      </c>
      <c r="J89" s="79">
        <f>H89*(1+I89)</f>
        <v>0</v>
      </c>
      <c r="K89" s="349">
        <f>J89*D89</f>
        <v>0</v>
      </c>
      <c r="L89" s="350">
        <f>G89+J89</f>
        <v>31.25</v>
      </c>
      <c r="M89" s="351">
        <f>D89*L89</f>
        <v>0</v>
      </c>
      <c r="N89" s="258"/>
      <c r="O89" s="258"/>
    </row>
    <row r="90" spans="1:15" ht="14.15" customHeight="1" x14ac:dyDescent="0.3">
      <c r="A90" s="341" t="s">
        <v>169</v>
      </c>
      <c r="B90" s="443" t="s">
        <v>170</v>
      </c>
      <c r="C90" s="29" t="s">
        <v>108</v>
      </c>
      <c r="D90" s="1">
        <v>0</v>
      </c>
      <c r="E90" s="36">
        <v>33</v>
      </c>
      <c r="F90" s="41">
        <v>0.2</v>
      </c>
      <c r="G90" s="348">
        <f>E90/(1-F90)</f>
        <v>41.25</v>
      </c>
      <c r="H90" s="348"/>
      <c r="I90" s="83">
        <v>0.15</v>
      </c>
      <c r="J90" s="79">
        <f>H90*(1+I90)</f>
        <v>0</v>
      </c>
      <c r="K90" s="349">
        <f>J90*D90</f>
        <v>0</v>
      </c>
      <c r="L90" s="350">
        <f>G90+J90</f>
        <v>41.25</v>
      </c>
      <c r="M90" s="351">
        <f>D90*L90</f>
        <v>0</v>
      </c>
      <c r="N90" s="258"/>
      <c r="O90" s="258"/>
    </row>
    <row r="91" spans="1:15" ht="14.5" customHeight="1" thickBot="1" x14ac:dyDescent="0.35">
      <c r="A91" s="341" t="s">
        <v>171</v>
      </c>
      <c r="B91" s="451" t="s">
        <v>172</v>
      </c>
      <c r="C91" s="29" t="s">
        <v>108</v>
      </c>
      <c r="D91" s="1">
        <v>0</v>
      </c>
      <c r="E91" s="36">
        <v>37</v>
      </c>
      <c r="F91" s="41">
        <v>0.2</v>
      </c>
      <c r="G91" s="348">
        <f>E91/(1-F91)</f>
        <v>46.25</v>
      </c>
      <c r="H91" s="348"/>
      <c r="I91" s="83">
        <v>0.15</v>
      </c>
      <c r="J91" s="79">
        <f>H91*(1+I91)</f>
        <v>0</v>
      </c>
      <c r="K91" s="349">
        <f>J91*D91</f>
        <v>0</v>
      </c>
      <c r="L91" s="350">
        <f>G91+J91</f>
        <v>46.25</v>
      </c>
      <c r="M91" s="351">
        <f>D91*L91</f>
        <v>0</v>
      </c>
      <c r="N91" s="258"/>
      <c r="O91" s="258"/>
    </row>
    <row r="92" spans="1:15" ht="14.5" customHeight="1" thickBot="1" x14ac:dyDescent="0.35">
      <c r="A92" s="397"/>
      <c r="B92" s="449"/>
      <c r="C92" s="71"/>
      <c r="D92" s="72"/>
      <c r="E92" s="73"/>
      <c r="F92" s="74"/>
      <c r="G92" s="356"/>
      <c r="H92" s="356"/>
      <c r="I92" s="73"/>
      <c r="J92" s="73"/>
      <c r="K92" s="357"/>
      <c r="L92" s="358"/>
      <c r="M92" s="358"/>
      <c r="N92" s="258"/>
      <c r="O92" s="258"/>
    </row>
    <row r="93" spans="1:15" s="297" customFormat="1" ht="14.15" customHeight="1" x14ac:dyDescent="0.3">
      <c r="A93" s="402">
        <v>2.14</v>
      </c>
      <c r="B93" s="452"/>
      <c r="C93" s="78"/>
      <c r="D93" s="65" t="s">
        <v>173</v>
      </c>
      <c r="E93" s="53"/>
      <c r="F93" s="54"/>
      <c r="G93" s="391"/>
      <c r="H93" s="391"/>
      <c r="I93" s="53"/>
      <c r="J93" s="53"/>
      <c r="K93" s="392"/>
      <c r="L93" s="393"/>
      <c r="M93" s="393"/>
      <c r="N93" s="258"/>
      <c r="O93" s="258"/>
    </row>
    <row r="94" spans="1:15" s="297" customFormat="1" ht="14.15" customHeight="1" x14ac:dyDescent="0.3">
      <c r="A94" s="341"/>
      <c r="B94" s="444"/>
      <c r="C94" s="29"/>
      <c r="D94" s="1"/>
      <c r="E94" s="36"/>
      <c r="F94" s="41"/>
      <c r="G94" s="348"/>
      <c r="H94" s="348"/>
      <c r="I94" s="79"/>
      <c r="J94" s="79"/>
      <c r="K94" s="349"/>
      <c r="L94" s="350"/>
      <c r="M94" s="351"/>
      <c r="N94" s="258"/>
      <c r="O94" s="258"/>
    </row>
    <row r="95" spans="1:15" s="297" customFormat="1" ht="28" customHeight="1" x14ac:dyDescent="0.3">
      <c r="A95" s="341"/>
      <c r="B95" s="443" t="s">
        <v>174</v>
      </c>
      <c r="C95" s="29"/>
      <c r="D95" s="1"/>
      <c r="E95" s="36"/>
      <c r="F95" s="41"/>
      <c r="G95" s="348"/>
      <c r="H95" s="348"/>
      <c r="I95" s="79"/>
      <c r="J95" s="79"/>
      <c r="K95" s="349"/>
      <c r="L95" s="350"/>
      <c r="M95" s="351"/>
      <c r="N95" s="258"/>
      <c r="O95" s="258"/>
    </row>
    <row r="96" spans="1:15" s="297" customFormat="1" ht="14.15" customHeight="1" x14ac:dyDescent="0.3">
      <c r="A96" s="384"/>
      <c r="B96" s="443"/>
      <c r="C96" s="29"/>
      <c r="D96" s="1"/>
      <c r="E96" s="36"/>
      <c r="F96" s="41"/>
      <c r="G96" s="348"/>
      <c r="H96" s="348"/>
      <c r="I96" s="79"/>
      <c r="J96" s="79"/>
      <c r="K96" s="349"/>
      <c r="L96" s="350"/>
      <c r="M96" s="351"/>
      <c r="N96" s="258"/>
      <c r="O96" s="258"/>
    </row>
    <row r="97" spans="1:15" s="297" customFormat="1" ht="14.15" customHeight="1" x14ac:dyDescent="0.3">
      <c r="A97" s="341" t="s">
        <v>175</v>
      </c>
      <c r="B97" s="443" t="s">
        <v>150</v>
      </c>
      <c r="C97" s="29" t="s">
        <v>85</v>
      </c>
      <c r="D97" s="1">
        <v>0</v>
      </c>
      <c r="E97" s="36">
        <f>752.54*1.1</f>
        <v>827.79399999999998</v>
      </c>
      <c r="F97" s="41">
        <v>0.2</v>
      </c>
      <c r="G97" s="348">
        <f t="shared" ref="G97:G107" si="5">E97/(1-F97)</f>
        <v>1034.7424999999998</v>
      </c>
      <c r="H97" s="348">
        <f>(250+100)*1.5</f>
        <v>525</v>
      </c>
      <c r="I97" s="83">
        <v>0.15</v>
      </c>
      <c r="J97" s="79">
        <f t="shared" ref="J97:J107" si="6">H97*(1+I97)</f>
        <v>603.75</v>
      </c>
      <c r="K97" s="349">
        <f t="shared" ref="K97:K107" si="7">J97*D97</f>
        <v>0</v>
      </c>
      <c r="L97" s="350">
        <f t="shared" ref="L97:L107" si="8">G97+J97</f>
        <v>1638.4924999999998</v>
      </c>
      <c r="M97" s="351">
        <f t="shared" ref="M97:M107" si="9">D97*L97</f>
        <v>0</v>
      </c>
      <c r="N97" s="258"/>
      <c r="O97" s="258"/>
    </row>
    <row r="98" spans="1:15" s="297" customFormat="1" ht="14.15" customHeight="1" x14ac:dyDescent="0.3">
      <c r="A98" s="341" t="s">
        <v>176</v>
      </c>
      <c r="B98" s="443" t="s">
        <v>177</v>
      </c>
      <c r="C98" s="29" t="s">
        <v>85</v>
      </c>
      <c r="D98" s="1">
        <v>0</v>
      </c>
      <c r="E98" s="36">
        <f>350*1.1</f>
        <v>385.00000000000006</v>
      </c>
      <c r="F98" s="41">
        <v>0.2</v>
      </c>
      <c r="G98" s="348">
        <f t="shared" si="5"/>
        <v>481.25000000000006</v>
      </c>
      <c r="H98" s="348">
        <f>(250+100)*1.5</f>
        <v>525</v>
      </c>
      <c r="I98" s="83">
        <v>0.15</v>
      </c>
      <c r="J98" s="79">
        <f t="shared" si="6"/>
        <v>603.75</v>
      </c>
      <c r="K98" s="349">
        <f t="shared" si="7"/>
        <v>0</v>
      </c>
      <c r="L98" s="350">
        <f t="shared" si="8"/>
        <v>1085</v>
      </c>
      <c r="M98" s="351">
        <f t="shared" si="9"/>
        <v>0</v>
      </c>
      <c r="N98" s="258"/>
      <c r="O98" s="258"/>
    </row>
    <row r="99" spans="1:15" s="297" customFormat="1" ht="14.15" customHeight="1" x14ac:dyDescent="0.3">
      <c r="A99" s="341" t="s">
        <v>178</v>
      </c>
      <c r="B99" s="443" t="s">
        <v>152</v>
      </c>
      <c r="C99" s="29" t="s">
        <v>85</v>
      </c>
      <c r="D99" s="1">
        <v>0</v>
      </c>
      <c r="E99" s="36">
        <v>550</v>
      </c>
      <c r="F99" s="41">
        <v>0.2</v>
      </c>
      <c r="G99" s="348">
        <f t="shared" si="5"/>
        <v>687.5</v>
      </c>
      <c r="H99" s="348">
        <f>(250+100)*1.5</f>
        <v>525</v>
      </c>
      <c r="I99" s="83">
        <v>0.15</v>
      </c>
      <c r="J99" s="79">
        <f t="shared" si="6"/>
        <v>603.75</v>
      </c>
      <c r="K99" s="349">
        <f t="shared" si="7"/>
        <v>0</v>
      </c>
      <c r="L99" s="350">
        <f t="shared" si="8"/>
        <v>1291.25</v>
      </c>
      <c r="M99" s="351">
        <f t="shared" si="9"/>
        <v>0</v>
      </c>
      <c r="N99" s="258"/>
      <c r="O99" s="258"/>
    </row>
    <row r="100" spans="1:15" s="297" customFormat="1" ht="14.15" customHeight="1" x14ac:dyDescent="0.3">
      <c r="A100" s="341" t="s">
        <v>179</v>
      </c>
      <c r="B100" s="443" t="s">
        <v>154</v>
      </c>
      <c r="C100" s="29" t="s">
        <v>85</v>
      </c>
      <c r="D100" s="1">
        <v>8</v>
      </c>
      <c r="E100" s="36">
        <v>350</v>
      </c>
      <c r="F100" s="41">
        <v>0.2</v>
      </c>
      <c r="G100" s="348">
        <f t="shared" si="5"/>
        <v>437.5</v>
      </c>
      <c r="H100" s="348">
        <v>525</v>
      </c>
      <c r="I100" s="83">
        <v>0.15</v>
      </c>
      <c r="J100" s="79">
        <f t="shared" si="6"/>
        <v>603.75</v>
      </c>
      <c r="K100" s="349">
        <f t="shared" si="7"/>
        <v>4830</v>
      </c>
      <c r="L100" s="350">
        <f t="shared" si="8"/>
        <v>1041.25</v>
      </c>
      <c r="M100" s="351">
        <f t="shared" si="9"/>
        <v>8330</v>
      </c>
      <c r="N100" s="258"/>
      <c r="O100" s="258"/>
    </row>
    <row r="101" spans="1:15" s="297" customFormat="1" ht="14.5" customHeight="1" x14ac:dyDescent="0.3">
      <c r="A101" s="341" t="s">
        <v>180</v>
      </c>
      <c r="B101" s="443" t="s">
        <v>156</v>
      </c>
      <c r="C101" s="29" t="s">
        <v>85</v>
      </c>
      <c r="D101" s="1">
        <v>0</v>
      </c>
      <c r="E101" s="36"/>
      <c r="F101" s="41"/>
      <c r="G101" s="348">
        <f t="shared" si="5"/>
        <v>0</v>
      </c>
      <c r="H101" s="348">
        <v>525</v>
      </c>
      <c r="I101" s="83">
        <v>0.15</v>
      </c>
      <c r="J101" s="79">
        <f t="shared" si="6"/>
        <v>603.75</v>
      </c>
      <c r="K101" s="349">
        <f t="shared" si="7"/>
        <v>0</v>
      </c>
      <c r="L101" s="350">
        <f t="shared" si="8"/>
        <v>603.75</v>
      </c>
      <c r="M101" s="351">
        <f t="shared" si="9"/>
        <v>0</v>
      </c>
      <c r="N101" s="258"/>
      <c r="O101" s="258"/>
    </row>
    <row r="102" spans="1:15" s="297" customFormat="1" ht="14.15" customHeight="1" x14ac:dyDescent="0.3">
      <c r="A102" s="341" t="s">
        <v>181</v>
      </c>
      <c r="B102" s="443" t="s">
        <v>158</v>
      </c>
      <c r="C102" s="29" t="s">
        <v>85</v>
      </c>
      <c r="D102" s="1">
        <v>0</v>
      </c>
      <c r="E102" s="36">
        <v>350</v>
      </c>
      <c r="F102" s="41">
        <v>0.2</v>
      </c>
      <c r="G102" s="348">
        <f t="shared" si="5"/>
        <v>437.5</v>
      </c>
      <c r="H102" s="348">
        <v>525</v>
      </c>
      <c r="I102" s="83">
        <v>0.15</v>
      </c>
      <c r="J102" s="79">
        <f t="shared" si="6"/>
        <v>603.75</v>
      </c>
      <c r="K102" s="349">
        <f t="shared" si="7"/>
        <v>0</v>
      </c>
      <c r="L102" s="350">
        <f t="shared" si="8"/>
        <v>1041.25</v>
      </c>
      <c r="M102" s="351">
        <f t="shared" si="9"/>
        <v>0</v>
      </c>
      <c r="N102" s="258"/>
      <c r="O102" s="258"/>
    </row>
    <row r="103" spans="1:15" s="297" customFormat="1" ht="14.15" customHeight="1" x14ac:dyDescent="0.3">
      <c r="A103" s="341" t="s">
        <v>182</v>
      </c>
      <c r="B103" s="443" t="s">
        <v>160</v>
      </c>
      <c r="C103" s="29" t="s">
        <v>85</v>
      </c>
      <c r="D103" s="1">
        <v>0</v>
      </c>
      <c r="E103" s="36">
        <v>350</v>
      </c>
      <c r="F103" s="41">
        <v>0.2</v>
      </c>
      <c r="G103" s="348">
        <f t="shared" si="5"/>
        <v>437.5</v>
      </c>
      <c r="H103" s="348">
        <v>525</v>
      </c>
      <c r="I103" s="83">
        <v>0.15</v>
      </c>
      <c r="J103" s="79">
        <f t="shared" si="6"/>
        <v>603.75</v>
      </c>
      <c r="K103" s="349">
        <f t="shared" si="7"/>
        <v>0</v>
      </c>
      <c r="L103" s="350">
        <f t="shared" si="8"/>
        <v>1041.25</v>
      </c>
      <c r="M103" s="351">
        <f t="shared" si="9"/>
        <v>0</v>
      </c>
      <c r="N103" s="258"/>
      <c r="O103" s="258"/>
    </row>
    <row r="104" spans="1:15" s="297" customFormat="1" ht="14.15" customHeight="1" x14ac:dyDescent="0.3">
      <c r="A104" s="341" t="s">
        <v>183</v>
      </c>
      <c r="B104" s="443" t="s">
        <v>184</v>
      </c>
      <c r="C104" s="29" t="s">
        <v>85</v>
      </c>
      <c r="D104" s="1">
        <v>0</v>
      </c>
      <c r="E104" s="36"/>
      <c r="F104" s="41"/>
      <c r="G104" s="348">
        <f t="shared" si="5"/>
        <v>0</v>
      </c>
      <c r="H104" s="348">
        <v>525</v>
      </c>
      <c r="I104" s="83">
        <v>0.15</v>
      </c>
      <c r="J104" s="79">
        <f t="shared" si="6"/>
        <v>603.75</v>
      </c>
      <c r="K104" s="349">
        <f t="shared" si="7"/>
        <v>0</v>
      </c>
      <c r="L104" s="350">
        <f t="shared" si="8"/>
        <v>603.75</v>
      </c>
      <c r="M104" s="351">
        <f t="shared" si="9"/>
        <v>0</v>
      </c>
      <c r="N104" s="258"/>
      <c r="O104" s="258"/>
    </row>
    <row r="105" spans="1:15" s="297" customFormat="1" ht="14.15" customHeight="1" x14ac:dyDescent="0.3">
      <c r="A105" s="341" t="s">
        <v>185</v>
      </c>
      <c r="B105" s="443" t="s">
        <v>186</v>
      </c>
      <c r="C105" s="29" t="s">
        <v>85</v>
      </c>
      <c r="D105" s="1">
        <v>0</v>
      </c>
      <c r="E105" s="36">
        <v>250</v>
      </c>
      <c r="F105" s="41">
        <v>0.2</v>
      </c>
      <c r="G105" s="348">
        <f t="shared" si="5"/>
        <v>312.5</v>
      </c>
      <c r="H105" s="348">
        <v>525</v>
      </c>
      <c r="I105" s="83">
        <v>0.15</v>
      </c>
      <c r="J105" s="79">
        <f t="shared" si="6"/>
        <v>603.75</v>
      </c>
      <c r="K105" s="349">
        <f t="shared" si="7"/>
        <v>0</v>
      </c>
      <c r="L105" s="350">
        <f t="shared" si="8"/>
        <v>916.25</v>
      </c>
      <c r="M105" s="351">
        <f t="shared" si="9"/>
        <v>0</v>
      </c>
      <c r="N105" s="258"/>
      <c r="O105" s="258"/>
    </row>
    <row r="106" spans="1:15" s="297" customFormat="1" ht="14.15" customHeight="1" x14ac:dyDescent="0.3">
      <c r="A106" s="341" t="s">
        <v>187</v>
      </c>
      <c r="B106" s="443" t="s">
        <v>188</v>
      </c>
      <c r="C106" s="29" t="s">
        <v>85</v>
      </c>
      <c r="D106" s="1">
        <v>6</v>
      </c>
      <c r="E106" s="36">
        <v>500</v>
      </c>
      <c r="F106" s="41">
        <v>0.2</v>
      </c>
      <c r="G106" s="348">
        <f t="shared" si="5"/>
        <v>625</v>
      </c>
      <c r="H106" s="348">
        <v>525</v>
      </c>
      <c r="I106" s="83">
        <v>0.15</v>
      </c>
      <c r="J106" s="79">
        <f t="shared" si="6"/>
        <v>603.75</v>
      </c>
      <c r="K106" s="349">
        <f t="shared" si="7"/>
        <v>3622.5</v>
      </c>
      <c r="L106" s="350">
        <f t="shared" si="8"/>
        <v>1228.75</v>
      </c>
      <c r="M106" s="351">
        <f t="shared" si="9"/>
        <v>7372.5</v>
      </c>
      <c r="N106" s="258"/>
      <c r="O106" s="258"/>
    </row>
    <row r="107" spans="1:15" s="297" customFormat="1" ht="14.5" customHeight="1" thickBot="1" x14ac:dyDescent="0.35">
      <c r="A107" s="381" t="s">
        <v>189</v>
      </c>
      <c r="B107" s="446" t="s">
        <v>190</v>
      </c>
      <c r="C107" s="76" t="s">
        <v>85</v>
      </c>
      <c r="D107" s="50">
        <v>0</v>
      </c>
      <c r="E107" s="51">
        <v>500</v>
      </c>
      <c r="F107" s="52">
        <v>0.2</v>
      </c>
      <c r="G107" s="376">
        <f t="shared" si="5"/>
        <v>625</v>
      </c>
      <c r="H107" s="376">
        <v>525</v>
      </c>
      <c r="I107" s="84">
        <v>0.15</v>
      </c>
      <c r="J107" s="80">
        <f t="shared" si="6"/>
        <v>603.75</v>
      </c>
      <c r="K107" s="382">
        <f t="shared" si="7"/>
        <v>0</v>
      </c>
      <c r="L107" s="350">
        <f t="shared" si="8"/>
        <v>1228.75</v>
      </c>
      <c r="M107" s="378">
        <f t="shared" si="9"/>
        <v>0</v>
      </c>
      <c r="N107" s="258"/>
      <c r="O107" s="258"/>
    </row>
    <row r="108" spans="1:15" s="297" customFormat="1" ht="14.5" customHeight="1" thickBot="1" x14ac:dyDescent="0.35">
      <c r="A108" s="404"/>
      <c r="B108" s="453"/>
      <c r="C108" s="29"/>
      <c r="D108" s="1"/>
      <c r="E108" s="36"/>
      <c r="F108" s="41"/>
      <c r="G108" s="348"/>
      <c r="H108" s="348"/>
      <c r="I108" s="79"/>
      <c r="J108" s="79"/>
      <c r="K108" s="406"/>
      <c r="L108" s="350"/>
      <c r="M108" s="351"/>
      <c r="N108" s="258"/>
      <c r="O108" s="258"/>
    </row>
    <row r="109" spans="1:15" ht="14.15" customHeight="1" x14ac:dyDescent="0.3">
      <c r="A109" s="359">
        <v>2.15</v>
      </c>
      <c r="B109" s="450"/>
      <c r="C109" s="75"/>
      <c r="D109" s="58" t="s">
        <v>191</v>
      </c>
      <c r="E109" s="56"/>
      <c r="F109" s="57"/>
      <c r="G109" s="361"/>
      <c r="H109" s="361"/>
      <c r="I109" s="56"/>
      <c r="J109" s="56"/>
      <c r="K109" s="362"/>
      <c r="L109" s="363"/>
      <c r="M109" s="363"/>
      <c r="N109" s="258"/>
      <c r="O109" s="258"/>
    </row>
    <row r="110" spans="1:15" ht="14.15" customHeight="1" x14ac:dyDescent="0.3">
      <c r="A110" s="341"/>
      <c r="B110" s="444"/>
      <c r="C110" s="29"/>
      <c r="D110" s="1"/>
      <c r="E110" s="36"/>
      <c r="F110" s="41"/>
      <c r="G110" s="348"/>
      <c r="H110" s="348"/>
      <c r="I110" s="79"/>
      <c r="J110" s="79"/>
      <c r="K110" s="349"/>
      <c r="L110" s="350"/>
      <c r="M110" s="351"/>
      <c r="N110" s="258"/>
      <c r="O110" s="258"/>
    </row>
    <row r="111" spans="1:15" ht="28" customHeight="1" x14ac:dyDescent="0.3">
      <c r="A111" s="341"/>
      <c r="B111" s="443" t="s">
        <v>192</v>
      </c>
      <c r="C111" s="29"/>
      <c r="D111" s="1"/>
      <c r="E111" s="36"/>
      <c r="F111" s="41"/>
      <c r="G111" s="348"/>
      <c r="H111" s="348"/>
      <c r="I111" s="79"/>
      <c r="J111" s="79"/>
      <c r="K111" s="349"/>
      <c r="L111" s="350"/>
      <c r="M111" s="351"/>
      <c r="N111" s="258"/>
      <c r="O111" s="258"/>
    </row>
    <row r="112" spans="1:15" ht="14.15" customHeight="1" x14ac:dyDescent="0.3">
      <c r="A112" s="384"/>
      <c r="B112" s="443"/>
      <c r="C112" s="29"/>
      <c r="D112" s="1"/>
      <c r="E112" s="36"/>
      <c r="F112" s="41"/>
      <c r="G112" s="348"/>
      <c r="H112" s="348"/>
      <c r="I112" s="79"/>
      <c r="J112" s="79"/>
      <c r="K112" s="349"/>
      <c r="L112" s="350"/>
      <c r="M112" s="351"/>
      <c r="N112" s="258"/>
      <c r="O112" s="258"/>
    </row>
    <row r="113" spans="1:15" ht="14.15" customHeight="1" x14ac:dyDescent="0.3">
      <c r="A113" s="341" t="s">
        <v>193</v>
      </c>
      <c r="B113" s="443" t="s">
        <v>194</v>
      </c>
      <c r="C113" s="29" t="s">
        <v>108</v>
      </c>
      <c r="D113" s="1">
        <v>0</v>
      </c>
      <c r="E113" s="36">
        <f>132*(15+10+10)</f>
        <v>4620</v>
      </c>
      <c r="F113" s="41">
        <v>0.2</v>
      </c>
      <c r="G113" s="348">
        <f>E113/(1-F113)</f>
        <v>5775</v>
      </c>
      <c r="H113" s="348">
        <f>9*(15+10+10)</f>
        <v>315</v>
      </c>
      <c r="I113" s="83">
        <v>0.15</v>
      </c>
      <c r="J113" s="79">
        <f>H113*(1+I113)</f>
        <v>362.25</v>
      </c>
      <c r="K113" s="349">
        <f>J113*D113</f>
        <v>0</v>
      </c>
      <c r="L113" s="350">
        <f>G113+J113</f>
        <v>6137.25</v>
      </c>
      <c r="M113" s="351">
        <f>D113*L113</f>
        <v>0</v>
      </c>
      <c r="N113" s="258"/>
      <c r="O113" s="258"/>
    </row>
    <row r="114" spans="1:15" ht="14.5" customHeight="1" thickBot="1" x14ac:dyDescent="0.35">
      <c r="A114" s="381" t="s">
        <v>195</v>
      </c>
      <c r="B114" s="446" t="s">
        <v>196</v>
      </c>
      <c r="C114" s="76" t="s">
        <v>108</v>
      </c>
      <c r="D114" s="50">
        <f>145 + N("total cabling")</f>
        <v>145</v>
      </c>
      <c r="E114" s="51">
        <f>30</f>
        <v>30</v>
      </c>
      <c r="F114" s="52">
        <v>0.2</v>
      </c>
      <c r="G114" s="376">
        <f>E114/(1-F114)</f>
        <v>37.5</v>
      </c>
      <c r="H114" s="376">
        <f>15</f>
        <v>15</v>
      </c>
      <c r="I114" s="84">
        <v>0.15</v>
      </c>
      <c r="J114" s="80">
        <f>H114*(1+I114)</f>
        <v>17.25</v>
      </c>
      <c r="K114" s="382">
        <f>J114*D114</f>
        <v>2501.25</v>
      </c>
      <c r="L114" s="407">
        <f>G114+J114</f>
        <v>54.75</v>
      </c>
      <c r="M114" s="378">
        <f>D114*L114</f>
        <v>7938.75</v>
      </c>
      <c r="N114" s="258"/>
      <c r="O114" s="258"/>
    </row>
    <row r="115" spans="1:15" ht="14.5" customHeight="1" thickBot="1" x14ac:dyDescent="0.35">
      <c r="A115" s="258"/>
      <c r="B115" s="453"/>
      <c r="C115" s="29"/>
      <c r="D115" s="1"/>
      <c r="E115" s="36"/>
      <c r="F115" s="41"/>
      <c r="G115" s="348"/>
      <c r="H115" s="348"/>
      <c r="I115" s="79"/>
      <c r="J115" s="79"/>
      <c r="K115" s="406"/>
      <c r="L115" s="350"/>
      <c r="M115" s="351"/>
      <c r="N115" s="258"/>
      <c r="O115" s="258"/>
    </row>
    <row r="116" spans="1:15" ht="14.15" customHeight="1" x14ac:dyDescent="0.3">
      <c r="A116" s="359">
        <v>2.16</v>
      </c>
      <c r="B116" s="450"/>
      <c r="C116" s="75"/>
      <c r="D116" s="58" t="s">
        <v>197</v>
      </c>
      <c r="E116" s="56"/>
      <c r="F116" s="57"/>
      <c r="G116" s="361"/>
      <c r="H116" s="361"/>
      <c r="I116" s="56"/>
      <c r="J116" s="56"/>
      <c r="K116" s="362"/>
      <c r="L116" s="363"/>
      <c r="M116" s="363"/>
      <c r="N116" s="258"/>
      <c r="O116" s="258"/>
    </row>
    <row r="117" spans="1:15" ht="14.15" customHeight="1" x14ac:dyDescent="0.3">
      <c r="A117" s="341"/>
      <c r="B117" s="444"/>
      <c r="C117" s="29"/>
      <c r="D117" s="1"/>
      <c r="E117" s="36"/>
      <c r="F117" s="41"/>
      <c r="G117" s="348"/>
      <c r="H117" s="348"/>
      <c r="I117" s="79"/>
      <c r="J117" s="79"/>
      <c r="K117" s="349"/>
      <c r="L117" s="350"/>
      <c r="M117" s="351"/>
      <c r="N117" s="258"/>
      <c r="O117" s="258"/>
    </row>
    <row r="118" spans="1:15" ht="28.5" customHeight="1" thickBot="1" x14ac:dyDescent="0.35">
      <c r="A118" s="381" t="s">
        <v>198</v>
      </c>
      <c r="B118" s="446" t="s">
        <v>199</v>
      </c>
      <c r="C118" s="86" t="s">
        <v>108</v>
      </c>
      <c r="D118" s="50">
        <v>15</v>
      </c>
      <c r="E118" s="51">
        <v>5</v>
      </c>
      <c r="F118" s="52">
        <v>0.2</v>
      </c>
      <c r="G118" s="376">
        <f>E118/(1-F118)</f>
        <v>6.25</v>
      </c>
      <c r="H118" s="376">
        <f>(100*3)</f>
        <v>300</v>
      </c>
      <c r="I118" s="84">
        <v>0.15</v>
      </c>
      <c r="J118" s="80">
        <f>H118*(1+I118)</f>
        <v>345</v>
      </c>
      <c r="K118" s="382">
        <f>J118*D118</f>
        <v>5175</v>
      </c>
      <c r="L118" s="407">
        <f>G118+J118</f>
        <v>351.25</v>
      </c>
      <c r="M118" s="378">
        <f>D118*L118</f>
        <v>5268.75</v>
      </c>
      <c r="N118" s="258"/>
      <c r="O118" s="258"/>
    </row>
    <row r="119" spans="1:15" ht="13.4" customHeight="1" thickBot="1" x14ac:dyDescent="0.35">
      <c r="A119" s="404"/>
      <c r="B119" s="453"/>
      <c r="C119" s="29"/>
      <c r="D119" s="1"/>
      <c r="E119" s="36"/>
      <c r="F119" s="41"/>
      <c r="G119" s="348"/>
      <c r="H119" s="348"/>
      <c r="I119" s="79"/>
      <c r="J119" s="79"/>
      <c r="K119" s="406"/>
      <c r="L119" s="350"/>
      <c r="M119" s="351"/>
      <c r="N119" s="258"/>
      <c r="O119" s="258"/>
    </row>
    <row r="120" spans="1:15" ht="14.15" customHeight="1" x14ac:dyDescent="0.3">
      <c r="A120" s="359">
        <v>2.17</v>
      </c>
      <c r="B120" s="450"/>
      <c r="C120" s="75"/>
      <c r="D120" s="58" t="s">
        <v>200</v>
      </c>
      <c r="E120" s="56"/>
      <c r="F120" s="57"/>
      <c r="G120" s="361"/>
      <c r="H120" s="361"/>
      <c r="I120" s="56"/>
      <c r="J120" s="56"/>
      <c r="K120" s="362"/>
      <c r="L120" s="363"/>
      <c r="M120" s="363"/>
      <c r="N120" s="258"/>
      <c r="O120" s="258"/>
    </row>
    <row r="121" spans="1:15" ht="14.15" customHeight="1" x14ac:dyDescent="0.3">
      <c r="A121" s="341"/>
      <c r="B121" s="454"/>
      <c r="C121" s="29"/>
      <c r="D121" s="1"/>
      <c r="E121" s="36"/>
      <c r="F121" s="41"/>
      <c r="G121" s="348"/>
      <c r="H121" s="348"/>
      <c r="I121" s="79"/>
      <c r="J121" s="79"/>
      <c r="K121" s="349"/>
      <c r="L121" s="350"/>
      <c r="M121" s="351"/>
      <c r="N121" s="258"/>
      <c r="O121" s="258"/>
    </row>
    <row r="122" spans="1:15" ht="14.15" customHeight="1" x14ac:dyDescent="0.3">
      <c r="A122" s="341"/>
      <c r="B122" s="443" t="s">
        <v>201</v>
      </c>
      <c r="C122" s="29"/>
      <c r="D122" s="1"/>
      <c r="E122" s="36"/>
      <c r="F122" s="41"/>
      <c r="G122" s="348"/>
      <c r="H122" s="348"/>
      <c r="I122" s="79"/>
      <c r="J122" s="79"/>
      <c r="K122" s="349"/>
      <c r="L122" s="350"/>
      <c r="M122" s="351"/>
      <c r="N122" s="258"/>
      <c r="O122" s="258"/>
    </row>
    <row r="123" spans="1:15" ht="14.15" customHeight="1" x14ac:dyDescent="0.3">
      <c r="A123" s="384"/>
      <c r="B123" s="455"/>
      <c r="C123" s="29"/>
      <c r="D123" s="1"/>
      <c r="E123" s="36"/>
      <c r="F123" s="41"/>
      <c r="G123" s="348"/>
      <c r="H123" s="348"/>
      <c r="I123" s="79"/>
      <c r="J123" s="79"/>
      <c r="K123" s="349"/>
      <c r="L123" s="350"/>
      <c r="M123" s="351"/>
      <c r="N123" s="258"/>
      <c r="O123" s="258"/>
    </row>
    <row r="124" spans="1:15" ht="28" customHeight="1" x14ac:dyDescent="0.3">
      <c r="A124" s="341" t="s">
        <v>202</v>
      </c>
      <c r="B124" s="443" t="s">
        <v>203</v>
      </c>
      <c r="C124" s="29" t="s">
        <v>42</v>
      </c>
      <c r="D124" s="1">
        <v>0</v>
      </c>
      <c r="E124" s="36"/>
      <c r="F124" s="41">
        <v>0.2</v>
      </c>
      <c r="G124" s="348">
        <f>E124/(1-F124)</f>
        <v>0</v>
      </c>
      <c r="H124" s="348">
        <f>140*(20+60+200)</f>
        <v>39200</v>
      </c>
      <c r="I124" s="83">
        <v>0.15</v>
      </c>
      <c r="J124" s="79">
        <f>H124*(1+I124)</f>
        <v>45080</v>
      </c>
      <c r="K124" s="349">
        <f>J124*D124</f>
        <v>0</v>
      </c>
      <c r="L124" s="350">
        <f>G124+J124</f>
        <v>45080</v>
      </c>
      <c r="M124" s="351">
        <f>D124*L124</f>
        <v>0</v>
      </c>
      <c r="N124" s="258"/>
      <c r="O124" s="258"/>
    </row>
    <row r="125" spans="1:15" s="297" customFormat="1" ht="28" customHeight="1" x14ac:dyDescent="0.3">
      <c r="A125" s="341" t="s">
        <v>204</v>
      </c>
      <c r="B125" s="443" t="s">
        <v>205</v>
      </c>
      <c r="C125" s="29" t="s">
        <v>42</v>
      </c>
      <c r="D125" s="1">
        <v>0</v>
      </c>
      <c r="E125" s="36"/>
      <c r="F125" s="41">
        <v>0.2</v>
      </c>
      <c r="G125" s="348">
        <f>E125/(1-F125)</f>
        <v>0</v>
      </c>
      <c r="H125" s="348">
        <f>140*(20+60+200)</f>
        <v>39200</v>
      </c>
      <c r="I125" s="83">
        <v>0.15</v>
      </c>
      <c r="J125" s="79">
        <f>H125*(1+I125)</f>
        <v>45080</v>
      </c>
      <c r="K125" s="349">
        <f>J125*D125</f>
        <v>0</v>
      </c>
      <c r="L125" s="350">
        <f>G125+J125</f>
        <v>45080</v>
      </c>
      <c r="M125" s="351">
        <f>D125*L125</f>
        <v>0</v>
      </c>
      <c r="N125" s="258"/>
      <c r="O125" s="258"/>
    </row>
    <row r="126" spans="1:15" s="297" customFormat="1" ht="14.15" customHeight="1" x14ac:dyDescent="0.3">
      <c r="A126" s="341" t="s">
        <v>206</v>
      </c>
      <c r="B126" s="443" t="s">
        <v>207</v>
      </c>
      <c r="C126" s="29" t="s">
        <v>42</v>
      </c>
      <c r="D126" s="1">
        <v>0</v>
      </c>
      <c r="E126" s="36">
        <f>35*(50+50)</f>
        <v>3500</v>
      </c>
      <c r="F126" s="41">
        <v>0.2</v>
      </c>
      <c r="G126" s="348">
        <f>E126/(1-F126)</f>
        <v>4375</v>
      </c>
      <c r="H126" s="348">
        <f>5*(50+50+50)</f>
        <v>750</v>
      </c>
      <c r="I126" s="83">
        <v>0.15</v>
      </c>
      <c r="J126" s="79">
        <f>H126*(1+I126)</f>
        <v>862.49999999999989</v>
      </c>
      <c r="K126" s="349">
        <f>J126*D126</f>
        <v>0</v>
      </c>
      <c r="L126" s="350">
        <f>G126+J126</f>
        <v>5237.5</v>
      </c>
      <c r="M126" s="351">
        <f>D126*L126</f>
        <v>0</v>
      </c>
      <c r="N126" s="258"/>
      <c r="O126" s="258"/>
    </row>
    <row r="127" spans="1:15" s="297" customFormat="1" ht="14.5" customHeight="1" thickBot="1" x14ac:dyDescent="0.35">
      <c r="A127" s="381" t="s">
        <v>208</v>
      </c>
      <c r="B127" s="446" t="s">
        <v>209</v>
      </c>
      <c r="C127" s="76" t="s">
        <v>42</v>
      </c>
      <c r="D127" s="50">
        <v>0</v>
      </c>
      <c r="E127" s="51">
        <f>4500*3</f>
        <v>13500</v>
      </c>
      <c r="F127" s="52">
        <v>0.2</v>
      </c>
      <c r="G127" s="376">
        <f>E127/(1-F127)</f>
        <v>16875</v>
      </c>
      <c r="H127" s="376">
        <v>5</v>
      </c>
      <c r="I127" s="84">
        <v>0.15</v>
      </c>
      <c r="J127" s="80">
        <f>H127*(1+I127)</f>
        <v>5.75</v>
      </c>
      <c r="K127" s="382">
        <f>J127*D127</f>
        <v>0</v>
      </c>
      <c r="L127" s="407">
        <f>G127+J127</f>
        <v>16880.75</v>
      </c>
      <c r="M127" s="378">
        <f>D127*L127</f>
        <v>0</v>
      </c>
      <c r="N127" s="258"/>
      <c r="O127" s="258"/>
    </row>
    <row r="128" spans="1:15" s="297" customFormat="1" ht="14.5" customHeight="1" thickBot="1" x14ac:dyDescent="0.35">
      <c r="A128" s="404"/>
      <c r="B128" s="456"/>
      <c r="C128" s="28"/>
      <c r="D128" s="1"/>
      <c r="E128" s="36"/>
      <c r="F128" s="41"/>
      <c r="G128" s="348"/>
      <c r="H128" s="348"/>
      <c r="I128" s="79"/>
      <c r="J128" s="79"/>
      <c r="K128" s="406"/>
      <c r="L128" s="350"/>
      <c r="M128" s="351"/>
      <c r="N128" s="258"/>
      <c r="O128" s="258"/>
    </row>
    <row r="129" spans="1:15" s="297" customFormat="1" ht="14.15" customHeight="1" x14ac:dyDescent="0.3">
      <c r="A129" s="359">
        <v>2.1800000000000002</v>
      </c>
      <c r="B129" s="450"/>
      <c r="C129" s="75"/>
      <c r="D129" s="55" t="s">
        <v>210</v>
      </c>
      <c r="E129" s="56"/>
      <c r="F129" s="57"/>
      <c r="G129" s="361"/>
      <c r="H129" s="361"/>
      <c r="I129" s="56"/>
      <c r="J129" s="56"/>
      <c r="K129" s="362"/>
      <c r="L129" s="363"/>
      <c r="M129" s="363"/>
      <c r="N129" s="258"/>
      <c r="O129" s="258"/>
    </row>
    <row r="130" spans="1:15" s="297" customFormat="1" ht="14.15" customHeight="1" x14ac:dyDescent="0.3">
      <c r="A130" s="341"/>
      <c r="B130" s="454"/>
      <c r="C130" s="29"/>
      <c r="D130" s="1"/>
      <c r="E130" s="36"/>
      <c r="F130" s="41"/>
      <c r="G130" s="348"/>
      <c r="H130" s="348"/>
      <c r="I130" s="79"/>
      <c r="J130" s="79"/>
      <c r="K130" s="349"/>
      <c r="L130" s="350"/>
      <c r="M130" s="351"/>
      <c r="N130" s="258"/>
      <c r="O130" s="258"/>
    </row>
    <row r="131" spans="1:15" s="297" customFormat="1" ht="14.15" customHeight="1" x14ac:dyDescent="0.3">
      <c r="A131" s="341" t="s">
        <v>211</v>
      </c>
      <c r="B131" s="443" t="s">
        <v>243</v>
      </c>
      <c r="C131" s="29" t="s">
        <v>42</v>
      </c>
      <c r="D131" s="1">
        <v>0</v>
      </c>
      <c r="E131" s="36">
        <v>0</v>
      </c>
      <c r="F131" s="41">
        <v>0.2</v>
      </c>
      <c r="G131" s="348">
        <f>E131/(1-F131)</f>
        <v>0</v>
      </c>
      <c r="H131" s="348">
        <f>2500*3</f>
        <v>7500</v>
      </c>
      <c r="I131" s="79"/>
      <c r="J131" s="79"/>
      <c r="K131" s="349">
        <f>H131*D131</f>
        <v>0</v>
      </c>
      <c r="L131" s="350">
        <f>G131+J131</f>
        <v>0</v>
      </c>
      <c r="M131" s="351">
        <f>D131*L131</f>
        <v>0</v>
      </c>
      <c r="N131" s="258"/>
      <c r="O131" s="258"/>
    </row>
    <row r="132" spans="1:15" s="297" customFormat="1" ht="14.5" customHeight="1" thickBot="1" x14ac:dyDescent="0.35">
      <c r="A132" s="381"/>
      <c r="B132" s="411"/>
      <c r="C132" s="77"/>
      <c r="D132" s="50"/>
      <c r="E132" s="51"/>
      <c r="F132" s="52"/>
      <c r="G132" s="376"/>
      <c r="H132" s="376"/>
      <c r="I132" s="80"/>
      <c r="J132" s="80"/>
      <c r="K132" s="382">
        <f>H132*D132</f>
        <v>0</v>
      </c>
      <c r="L132" s="412"/>
      <c r="M132" s="378"/>
      <c r="N132" s="258"/>
      <c r="O132" s="258"/>
    </row>
    <row r="133" spans="1:15" s="297" customFormat="1" ht="14.15" customHeight="1" x14ac:dyDescent="0.3">
      <c r="A133" s="369"/>
      <c r="B133" s="413"/>
      <c r="C133" s="28"/>
      <c r="D133" s="1"/>
      <c r="E133" s="36"/>
      <c r="F133" s="41"/>
      <c r="G133" s="348"/>
      <c r="H133" s="348"/>
      <c r="I133" s="36"/>
      <c r="J133" s="36"/>
      <c r="K133" s="414"/>
      <c r="L133" s="350"/>
      <c r="M133" s="351"/>
      <c r="N133" s="258"/>
      <c r="O133" s="258"/>
    </row>
    <row r="134" spans="1:15" s="297" customFormat="1" ht="14.15" customHeight="1" x14ac:dyDescent="0.3">
      <c r="A134" s="404">
        <v>2.19</v>
      </c>
      <c r="B134" s="455" t="s">
        <v>213</v>
      </c>
      <c r="C134" s="29"/>
      <c r="D134" s="1"/>
      <c r="E134" s="36"/>
      <c r="F134" s="41"/>
      <c r="G134" s="348"/>
      <c r="H134" s="348"/>
      <c r="I134" s="36"/>
      <c r="J134" s="36"/>
      <c r="K134" s="415">
        <f>H134*D134</f>
        <v>0</v>
      </c>
      <c r="L134" s="350"/>
      <c r="M134" s="351"/>
      <c r="N134" s="258"/>
      <c r="O134" s="258"/>
    </row>
    <row r="135" spans="1:15" s="297" customFormat="1" ht="14.15" customHeight="1" x14ac:dyDescent="0.3">
      <c r="A135" s="404" t="s">
        <v>214</v>
      </c>
      <c r="B135" s="443" t="s">
        <v>215</v>
      </c>
      <c r="C135" s="29" t="s">
        <v>42</v>
      </c>
      <c r="D135" s="1">
        <v>1</v>
      </c>
      <c r="E135" s="36">
        <v>25000</v>
      </c>
      <c r="F135" s="41">
        <v>0</v>
      </c>
      <c r="G135" s="348">
        <f>E135/(1-F135)</f>
        <v>25000</v>
      </c>
      <c r="H135" s="348">
        <v>0</v>
      </c>
      <c r="I135" s="36"/>
      <c r="J135" s="36"/>
      <c r="K135" s="415">
        <f>H135*D135</f>
        <v>0</v>
      </c>
      <c r="L135" s="350">
        <f>G135+H135</f>
        <v>25000</v>
      </c>
      <c r="M135" s="351">
        <f>D135*L135</f>
        <v>25000</v>
      </c>
      <c r="N135" s="258"/>
      <c r="O135" s="258"/>
    </row>
    <row r="136" spans="1:15" s="297" customFormat="1" ht="14.15" customHeight="1" x14ac:dyDescent="0.3">
      <c r="A136" s="404"/>
      <c r="B136" s="455"/>
      <c r="C136" s="29"/>
      <c r="D136" s="1"/>
      <c r="E136" s="36"/>
      <c r="F136" s="41"/>
      <c r="G136" s="348"/>
      <c r="H136" s="348"/>
      <c r="I136" s="36"/>
      <c r="J136" s="36"/>
      <c r="K136" s="415"/>
      <c r="L136" s="350"/>
      <c r="M136" s="351"/>
      <c r="N136" s="258"/>
      <c r="O136" s="258"/>
    </row>
    <row r="137" spans="1:15" s="297" customFormat="1" ht="14.15" customHeight="1" x14ac:dyDescent="0.3">
      <c r="A137" s="416">
        <v>2.2000000000000002</v>
      </c>
      <c r="B137" s="455" t="s">
        <v>216</v>
      </c>
      <c r="C137" s="29"/>
      <c r="D137" s="1"/>
      <c r="E137" s="36"/>
      <c r="F137" s="41"/>
      <c r="G137" s="348"/>
      <c r="H137" s="348"/>
      <c r="I137" s="36"/>
      <c r="J137" s="36"/>
      <c r="K137" s="415">
        <f>H137*D137</f>
        <v>0</v>
      </c>
      <c r="L137" s="350"/>
      <c r="M137" s="351"/>
      <c r="N137" s="258"/>
      <c r="O137" s="258"/>
    </row>
    <row r="138" spans="1:15" s="297" customFormat="1" ht="14.15" customHeight="1" x14ac:dyDescent="0.3">
      <c r="A138" s="404" t="s">
        <v>217</v>
      </c>
      <c r="B138" s="443" t="s">
        <v>218</v>
      </c>
      <c r="C138" s="29" t="s">
        <v>42</v>
      </c>
      <c r="D138" s="1">
        <v>1</v>
      </c>
      <c r="E138" s="36">
        <f>15000</f>
        <v>15000</v>
      </c>
      <c r="F138" s="41">
        <v>0</v>
      </c>
      <c r="G138" s="348">
        <f>E138/(1-F138)</f>
        <v>15000</v>
      </c>
      <c r="H138" s="348">
        <v>0</v>
      </c>
      <c r="I138" s="36"/>
      <c r="J138" s="36"/>
      <c r="K138" s="415">
        <f>H138*D138</f>
        <v>0</v>
      </c>
      <c r="L138" s="350">
        <f>G138+H138</f>
        <v>15000</v>
      </c>
      <c r="M138" s="351">
        <f>D138*L138</f>
        <v>15000</v>
      </c>
      <c r="N138" s="258"/>
      <c r="O138" s="258"/>
    </row>
    <row r="139" spans="1:15" s="297" customFormat="1" ht="14.15" customHeight="1" x14ac:dyDescent="0.3">
      <c r="A139" s="404"/>
      <c r="B139" s="455"/>
      <c r="C139" s="29"/>
      <c r="D139" s="1"/>
      <c r="E139" s="36"/>
      <c r="F139" s="41"/>
      <c r="G139" s="348"/>
      <c r="H139" s="348"/>
      <c r="I139" s="36"/>
      <c r="J139" s="36"/>
      <c r="K139" s="415"/>
      <c r="L139" s="350"/>
      <c r="M139" s="351"/>
      <c r="N139" s="258"/>
      <c r="O139" s="258"/>
    </row>
    <row r="140" spans="1:15" s="297" customFormat="1" ht="14.15" customHeight="1" x14ac:dyDescent="0.3">
      <c r="A140" s="404">
        <v>2.21</v>
      </c>
      <c r="B140" s="455" t="s">
        <v>219</v>
      </c>
      <c r="C140" s="29"/>
      <c r="D140" s="1"/>
      <c r="E140" s="36"/>
      <c r="F140" s="41"/>
      <c r="G140" s="348"/>
      <c r="H140" s="348"/>
      <c r="I140" s="36"/>
      <c r="J140" s="36"/>
      <c r="K140" s="415">
        <f>H140*D140</f>
        <v>0</v>
      </c>
      <c r="L140" s="350"/>
      <c r="M140" s="351"/>
      <c r="N140" s="258"/>
      <c r="O140" s="258"/>
    </row>
    <row r="141" spans="1:15" ht="14.15" customHeight="1" x14ac:dyDescent="0.3">
      <c r="A141" s="404" t="s">
        <v>220</v>
      </c>
      <c r="B141" s="443" t="s">
        <v>221</v>
      </c>
      <c r="C141" s="29" t="s">
        <v>42</v>
      </c>
      <c r="D141" s="1">
        <v>1</v>
      </c>
      <c r="E141" s="36">
        <f>5000</f>
        <v>5000</v>
      </c>
      <c r="F141" s="41">
        <v>0</v>
      </c>
      <c r="G141" s="348">
        <f>E141/(1-F141)</f>
        <v>5000</v>
      </c>
      <c r="H141" s="348">
        <v>0</v>
      </c>
      <c r="I141" s="36"/>
      <c r="J141" s="36"/>
      <c r="K141" s="415">
        <f>H141*D141</f>
        <v>0</v>
      </c>
      <c r="L141" s="350">
        <f>G141+H141</f>
        <v>5000</v>
      </c>
      <c r="M141" s="351">
        <f>D141*L141</f>
        <v>5000</v>
      </c>
      <c r="N141" s="258"/>
      <c r="O141" s="258"/>
    </row>
    <row r="142" spans="1:15" ht="14.15" customHeight="1" x14ac:dyDescent="0.3">
      <c r="A142" s="404" t="s">
        <v>222</v>
      </c>
      <c r="B142" s="443" t="s">
        <v>223</v>
      </c>
      <c r="C142" s="29" t="s">
        <v>42</v>
      </c>
      <c r="D142" s="1">
        <v>1</v>
      </c>
      <c r="E142" s="36">
        <f>50000</f>
        <v>50000</v>
      </c>
      <c r="F142" s="41">
        <v>0</v>
      </c>
      <c r="G142" s="348">
        <f>E142/(1-F142)</f>
        <v>50000</v>
      </c>
      <c r="H142" s="348">
        <v>0</v>
      </c>
      <c r="I142" s="36"/>
      <c r="J142" s="36"/>
      <c r="K142" s="415">
        <f>H142*D142</f>
        <v>0</v>
      </c>
      <c r="L142" s="350">
        <f>G142+H142</f>
        <v>50000</v>
      </c>
      <c r="M142" s="351">
        <f>D142*L142</f>
        <v>50000</v>
      </c>
      <c r="N142" s="258"/>
      <c r="O142" s="258"/>
    </row>
    <row r="143" spans="1:15" ht="14.15" customHeight="1" x14ac:dyDescent="0.3">
      <c r="A143" s="404"/>
      <c r="B143" s="413"/>
      <c r="C143" s="28"/>
      <c r="D143" s="1"/>
      <c r="E143" s="36"/>
      <c r="F143" s="41"/>
      <c r="G143" s="348"/>
      <c r="H143" s="348"/>
      <c r="I143" s="36"/>
      <c r="J143" s="36"/>
      <c r="K143" s="415"/>
      <c r="L143" s="350"/>
      <c r="M143" s="351"/>
      <c r="N143" s="258"/>
      <c r="O143" s="258"/>
    </row>
    <row r="144" spans="1:15" ht="14.15" customHeight="1" x14ac:dyDescent="0.3">
      <c r="A144" s="404">
        <v>2.2200000000000002</v>
      </c>
      <c r="B144" s="455" t="s">
        <v>224</v>
      </c>
      <c r="C144" s="28"/>
      <c r="D144" s="1"/>
      <c r="E144" s="36"/>
      <c r="F144" s="41"/>
      <c r="G144" s="348"/>
      <c r="H144" s="348"/>
      <c r="I144" s="36"/>
      <c r="J144" s="36"/>
      <c r="K144" s="415">
        <f>H144*D144</f>
        <v>0</v>
      </c>
      <c r="L144" s="350"/>
      <c r="M144" s="351"/>
      <c r="N144" s="258"/>
      <c r="O144" s="258"/>
    </row>
    <row r="145" spans="1:15" ht="14.15" customHeight="1" x14ac:dyDescent="0.3">
      <c r="A145" s="404"/>
      <c r="B145" s="413"/>
      <c r="C145" s="28"/>
      <c r="D145" s="1"/>
      <c r="E145" s="36"/>
      <c r="F145" s="41"/>
      <c r="G145" s="348"/>
      <c r="H145" s="348"/>
      <c r="I145" s="36"/>
      <c r="J145" s="36"/>
      <c r="K145" s="415">
        <f>H145*D145</f>
        <v>0</v>
      </c>
      <c r="L145" s="350"/>
      <c r="M145" s="351"/>
      <c r="N145" s="258"/>
      <c r="O145" s="258"/>
    </row>
    <row r="146" spans="1:15" ht="28" customHeight="1" x14ac:dyDescent="0.3">
      <c r="A146" s="404" t="s">
        <v>225</v>
      </c>
      <c r="B146" s="443" t="s">
        <v>226</v>
      </c>
      <c r="C146" s="28" t="s">
        <v>42</v>
      </c>
      <c r="D146" s="1">
        <v>1</v>
      </c>
      <c r="E146" s="36">
        <f>5000*3</f>
        <v>15000</v>
      </c>
      <c r="F146" s="41">
        <v>0.2</v>
      </c>
      <c r="G146" s="348">
        <f>E146/(1-F146)</f>
        <v>18750</v>
      </c>
      <c r="H146" s="348">
        <v>1</v>
      </c>
      <c r="I146" s="36"/>
      <c r="J146" s="36"/>
      <c r="K146" s="415">
        <f>H146*D146</f>
        <v>1</v>
      </c>
      <c r="L146" s="350">
        <f>G146+H146</f>
        <v>18751</v>
      </c>
      <c r="M146" s="351">
        <f>D146*L146</f>
        <v>18751</v>
      </c>
      <c r="N146" s="258"/>
      <c r="O146" s="258"/>
    </row>
    <row r="147" spans="1:15" ht="14.15" customHeight="1" x14ac:dyDescent="0.3">
      <c r="A147" s="404"/>
      <c r="B147" s="413"/>
      <c r="C147" s="28"/>
      <c r="D147" s="1"/>
      <c r="E147" s="36"/>
      <c r="F147" s="41"/>
      <c r="G147" s="348"/>
      <c r="H147" s="348"/>
      <c r="I147" s="36"/>
      <c r="J147" s="36"/>
      <c r="K147" s="417"/>
      <c r="L147" s="350"/>
      <c r="M147" s="418"/>
      <c r="N147" s="258"/>
      <c r="O147" s="258"/>
    </row>
    <row r="148" spans="1:15" ht="14.5" customHeight="1" thickBot="1" x14ac:dyDescent="0.35">
      <c r="A148" s="440"/>
      <c r="B148" s="413"/>
      <c r="C148" s="28"/>
      <c r="D148" s="1"/>
      <c r="E148" s="36"/>
      <c r="F148" s="41"/>
      <c r="G148" s="348"/>
      <c r="H148" s="348"/>
      <c r="I148" s="36"/>
      <c r="J148" s="36"/>
      <c r="K148" s="417"/>
      <c r="L148" s="350"/>
      <c r="M148" s="418"/>
      <c r="N148" s="258"/>
      <c r="O148" s="258"/>
    </row>
    <row r="149" spans="1:15" ht="18.75" customHeight="1" thickTop="1" x14ac:dyDescent="0.3">
      <c r="A149" s="419"/>
      <c r="B149" s="457" t="s">
        <v>227</v>
      </c>
      <c r="C149" s="2"/>
      <c r="D149" s="2"/>
      <c r="E149" s="39"/>
      <c r="F149" s="42"/>
      <c r="G149" s="421"/>
      <c r="H149" s="421"/>
      <c r="I149" s="39"/>
      <c r="J149" s="39"/>
      <c r="K149" s="422">
        <f>SUM(K11:K146)</f>
        <v>154434.5</v>
      </c>
      <c r="L149" s="458"/>
      <c r="M149" s="424">
        <f>SUM(M11:M148)</f>
        <v>1063817.7136309524</v>
      </c>
      <c r="N149" s="258">
        <f>M149*1.15</f>
        <v>1223390.3706755952</v>
      </c>
      <c r="O149" s="258"/>
    </row>
    <row r="150" spans="1:15" ht="16.5" customHeight="1" x14ac:dyDescent="0.3">
      <c r="A150" s="426"/>
      <c r="B150" s="427"/>
      <c r="C150" s="257"/>
      <c r="D150" s="47"/>
      <c r="E150" s="250"/>
      <c r="F150" s="48"/>
      <c r="G150" s="428"/>
      <c r="H150" s="428"/>
      <c r="I150" s="250"/>
      <c r="J150" s="250"/>
      <c r="K150" s="429"/>
      <c r="L150" s="430"/>
      <c r="M150" s="431"/>
      <c r="N150" s="258"/>
      <c r="O150" s="258"/>
    </row>
    <row r="151" spans="1:15" ht="18.75" customHeight="1" x14ac:dyDescent="0.3">
      <c r="A151" s="258"/>
      <c r="B151" s="387"/>
      <c r="C151" s="34"/>
      <c r="D151" s="249"/>
      <c r="E151" s="249"/>
      <c r="F151" s="249"/>
      <c r="G151" s="432"/>
      <c r="H151" s="432"/>
      <c r="I151" s="249"/>
      <c r="J151" s="249"/>
      <c r="K151" s="432"/>
      <c r="L151" s="433"/>
      <c r="M151" s="434"/>
      <c r="N151" s="258"/>
      <c r="O151" s="258"/>
    </row>
    <row r="152" spans="1:15" ht="18.75" customHeight="1" x14ac:dyDescent="0.25"/>
    <row r="153" spans="1:15" ht="18.75" customHeight="1" x14ac:dyDescent="0.25"/>
    <row r="154" spans="1:15" ht="18.75" customHeight="1" x14ac:dyDescent="0.25"/>
    <row r="155" spans="1:15" ht="18.75" customHeight="1" x14ac:dyDescent="0.25"/>
    <row r="156" spans="1:15" ht="18.75" customHeight="1" x14ac:dyDescent="0.25"/>
    <row r="157" spans="1:15" ht="18.75" customHeight="1" x14ac:dyDescent="0.25"/>
    <row r="158" spans="1:15" ht="18.75" customHeight="1" x14ac:dyDescent="0.25"/>
    <row r="159" spans="1:15" ht="18.75" customHeight="1" x14ac:dyDescent="0.25"/>
    <row r="160" spans="1:15" ht="18.75" customHeight="1" x14ac:dyDescent="0.25"/>
    <row r="161" ht="18.75" customHeight="1" x14ac:dyDescent="0.25"/>
    <row r="162" ht="18.75" customHeight="1" x14ac:dyDescent="0.25"/>
    <row r="163" ht="18.75" customHeight="1" x14ac:dyDescent="0.25"/>
    <row r="164" ht="18.75" customHeight="1" x14ac:dyDescent="0.25"/>
    <row r="165" ht="18.75" customHeight="1" x14ac:dyDescent="0.25"/>
    <row r="166" ht="18.75" customHeight="1" x14ac:dyDescent="0.25"/>
    <row r="167" ht="18.75" customHeight="1" x14ac:dyDescent="0.25"/>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167"/>
  <sheetViews>
    <sheetView view="pageBreakPreview" zoomScale="70" zoomScaleNormal="100" zoomScaleSheetLayoutView="70" workbookViewId="0">
      <pane ySplit="5" topLeftCell="A6" activePane="bottomLeft" state="frozen"/>
      <selection pane="bottomLeft" activeCell="B25" sqref="B25"/>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1" width="13.81640625" style="8" customWidth="1"/>
    <col min="12" max="12" width="12.453125" style="295"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33" t="s">
        <v>36</v>
      </c>
      <c r="E5" s="82" t="s">
        <v>72</v>
      </c>
      <c r="F5" s="82" t="s">
        <v>73</v>
      </c>
      <c r="G5" s="313" t="s">
        <v>74</v>
      </c>
      <c r="H5" s="314" t="s">
        <v>75</v>
      </c>
      <c r="I5" s="82" t="s">
        <v>73</v>
      </c>
      <c r="J5" s="315" t="s">
        <v>76</v>
      </c>
      <c r="K5" s="316"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347" t="s">
        <v>413</v>
      </c>
      <c r="C11" s="248" t="s">
        <v>85</v>
      </c>
      <c r="D11" s="1">
        <v>66</v>
      </c>
      <c r="E11" s="36">
        <f>1623.93</f>
        <v>1623.93</v>
      </c>
      <c r="F11" s="41">
        <v>0.25</v>
      </c>
      <c r="G11" s="348">
        <f>E11/(1-F11)</f>
        <v>2165.2400000000002</v>
      </c>
      <c r="H11" s="348">
        <v>350</v>
      </c>
      <c r="I11" s="83">
        <v>0.15</v>
      </c>
      <c r="J11" s="79">
        <f>H11*(1+I11)</f>
        <v>402.49999999999994</v>
      </c>
      <c r="K11" s="349">
        <f>J11*D11</f>
        <v>26564.999999999996</v>
      </c>
      <c r="L11" s="350">
        <f>G11+J11</f>
        <v>2567.7400000000002</v>
      </c>
      <c r="M11" s="351">
        <f>D11*L11</f>
        <v>169470.84000000003</v>
      </c>
      <c r="N11" s="258"/>
      <c r="O11" s="258"/>
    </row>
    <row r="12" spans="1:15" ht="14.5" customHeight="1" thickBot="1" x14ac:dyDescent="0.35">
      <c r="A12" s="354"/>
      <c r="B12" s="441"/>
      <c r="C12" s="71"/>
      <c r="D12" s="72"/>
      <c r="E12" s="73"/>
      <c r="F12" s="74"/>
      <c r="G12" s="356"/>
      <c r="H12" s="356"/>
      <c r="I12" s="73"/>
      <c r="J12" s="73"/>
      <c r="K12" s="357"/>
      <c r="L12" s="358"/>
      <c r="M12" s="358"/>
      <c r="N12" s="258"/>
      <c r="O12" s="258"/>
    </row>
    <row r="13" spans="1:15" ht="14.15" customHeight="1" x14ac:dyDescent="0.3">
      <c r="A13" s="359" t="s">
        <v>86</v>
      </c>
      <c r="B13" s="360"/>
      <c r="C13" s="255"/>
      <c r="D13" s="58" t="s">
        <v>87</v>
      </c>
      <c r="E13" s="56"/>
      <c r="F13" s="57"/>
      <c r="G13" s="361"/>
      <c r="H13" s="361"/>
      <c r="I13" s="56"/>
      <c r="J13" s="56"/>
      <c r="K13" s="362"/>
      <c r="L13" s="363"/>
      <c r="M13" s="363"/>
      <c r="N13" s="258"/>
      <c r="O13" s="258"/>
    </row>
    <row r="14" spans="1:15" ht="14.5" customHeight="1" thickBot="1" x14ac:dyDescent="0.35">
      <c r="A14" s="341" t="s">
        <v>88</v>
      </c>
      <c r="B14" s="442" t="s">
        <v>414</v>
      </c>
      <c r="C14" s="248" t="s">
        <v>85</v>
      </c>
      <c r="D14" s="1">
        <v>2</v>
      </c>
      <c r="E14" s="36">
        <v>42053.599999999999</v>
      </c>
      <c r="F14" s="41">
        <v>0.2</v>
      </c>
      <c r="G14" s="348">
        <f>E14/(1-F14)</f>
        <v>52566.999999999993</v>
      </c>
      <c r="H14" s="348">
        <f>(550*8)+3600</f>
        <v>8000</v>
      </c>
      <c r="I14" s="83">
        <v>0.15</v>
      </c>
      <c r="J14" s="79">
        <f>H14*(1+I14)</f>
        <v>9200</v>
      </c>
      <c r="K14" s="349">
        <f>J14*D14</f>
        <v>18400</v>
      </c>
      <c r="L14" s="350">
        <f>G14+J14</f>
        <v>61766.999999999993</v>
      </c>
      <c r="M14" s="351">
        <f>D14*L14</f>
        <v>123533.99999999999</v>
      </c>
      <c r="N14" s="258"/>
      <c r="O14" s="258"/>
    </row>
    <row r="15" spans="1:15" ht="14.5" customHeight="1" thickBot="1" x14ac:dyDescent="0.35">
      <c r="A15" s="354"/>
      <c r="B15" s="441"/>
      <c r="C15" s="71"/>
      <c r="D15" s="72"/>
      <c r="E15" s="73"/>
      <c r="F15" s="74"/>
      <c r="G15" s="356"/>
      <c r="H15" s="356"/>
      <c r="I15" s="73"/>
      <c r="J15" s="73"/>
      <c r="K15" s="357"/>
      <c r="L15" s="358"/>
      <c r="M15" s="358"/>
      <c r="N15" s="258"/>
      <c r="O15" s="258"/>
    </row>
    <row r="16" spans="1:15" ht="14.15" customHeight="1" x14ac:dyDescent="0.3">
      <c r="A16" s="359">
        <v>2.2999999999999998</v>
      </c>
      <c r="B16" s="367"/>
      <c r="C16" s="255"/>
      <c r="D16" s="58" t="s">
        <v>91</v>
      </c>
      <c r="E16" s="56"/>
      <c r="F16" s="57"/>
      <c r="G16" s="361"/>
      <c r="H16" s="361"/>
      <c r="I16" s="56"/>
      <c r="J16" s="56"/>
      <c r="K16" s="362"/>
      <c r="L16" s="363"/>
      <c r="M16" s="363"/>
      <c r="N16" s="258"/>
      <c r="O16" s="258"/>
    </row>
    <row r="17" spans="1:15" ht="14.15" customHeight="1" x14ac:dyDescent="0.3">
      <c r="A17" s="341" t="s">
        <v>92</v>
      </c>
      <c r="B17" s="443" t="s">
        <v>415</v>
      </c>
      <c r="C17" s="30" t="s">
        <v>85</v>
      </c>
      <c r="D17" s="1">
        <v>1</v>
      </c>
      <c r="E17" s="36">
        <v>20000</v>
      </c>
      <c r="F17" s="41">
        <v>0.2</v>
      </c>
      <c r="G17" s="348">
        <f>E17/(1-F17)</f>
        <v>25000</v>
      </c>
      <c r="H17" s="348">
        <f>(550*4)+3500</f>
        <v>5700</v>
      </c>
      <c r="I17" s="83">
        <v>0.15</v>
      </c>
      <c r="J17" s="79">
        <f>H17*(1+I17)</f>
        <v>6554.9999999999991</v>
      </c>
      <c r="K17" s="349">
        <f>J17*D17</f>
        <v>6554.9999999999991</v>
      </c>
      <c r="L17" s="350">
        <f>G17+J17</f>
        <v>31555</v>
      </c>
      <c r="M17" s="351">
        <f>D17*L17</f>
        <v>31555</v>
      </c>
      <c r="N17" s="258"/>
      <c r="O17" s="258"/>
    </row>
    <row r="18" spans="1:15" ht="14.5" customHeight="1" thickBot="1" x14ac:dyDescent="0.35">
      <c r="A18" s="341" t="s">
        <v>94</v>
      </c>
      <c r="B18" s="444" t="s">
        <v>416</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436"/>
      <c r="O18" s="369"/>
    </row>
    <row r="19" spans="1:15" ht="14.15" customHeight="1" x14ac:dyDescent="0.3">
      <c r="A19" s="359">
        <v>2.4</v>
      </c>
      <c r="B19" s="360"/>
      <c r="C19" s="255"/>
      <c r="D19" s="58" t="s">
        <v>96</v>
      </c>
      <c r="E19" s="56"/>
      <c r="F19" s="57"/>
      <c r="G19" s="361"/>
      <c r="H19" s="361"/>
      <c r="I19" s="56"/>
      <c r="J19" s="56"/>
      <c r="K19" s="362"/>
      <c r="L19" s="363"/>
      <c r="M19" s="363"/>
      <c r="N19" s="258"/>
      <c r="O19" s="258"/>
    </row>
    <row r="20" spans="1:15" ht="28" customHeight="1" x14ac:dyDescent="0.3">
      <c r="A20" s="370" t="s">
        <v>97</v>
      </c>
      <c r="B20" s="445" t="s">
        <v>417</v>
      </c>
      <c r="C20" s="7" t="s">
        <v>85</v>
      </c>
      <c r="D20" s="7">
        <v>2</v>
      </c>
      <c r="E20" s="37">
        <v>248274.72</v>
      </c>
      <c r="F20" s="41">
        <v>0.2</v>
      </c>
      <c r="G20" s="348">
        <f>E20/(1-F20)</f>
        <v>310343.39999999997</v>
      </c>
      <c r="H20" s="371">
        <f>(550*8)+3600</f>
        <v>8000</v>
      </c>
      <c r="I20" s="83">
        <v>0.15</v>
      </c>
      <c r="J20" s="79">
        <f>H20*(1+I20)</f>
        <v>9200</v>
      </c>
      <c r="K20" s="349">
        <f>J20*D20</f>
        <v>18400</v>
      </c>
      <c r="L20" s="350">
        <f>G20+J20</f>
        <v>319543.39999999997</v>
      </c>
      <c r="M20" s="351">
        <f>D20*L20</f>
        <v>639086.79999999993</v>
      </c>
      <c r="N20" s="258"/>
      <c r="O20" s="258"/>
    </row>
    <row r="21" spans="1:15" ht="14.15" customHeight="1" x14ac:dyDescent="0.3">
      <c r="A21" s="370"/>
      <c r="B21" s="443"/>
      <c r="C21" s="3"/>
      <c r="D21" s="7"/>
      <c r="E21" s="37"/>
      <c r="F21" s="41"/>
      <c r="G21" s="348"/>
      <c r="H21" s="371"/>
      <c r="I21" s="66"/>
      <c r="J21" s="66"/>
      <c r="K21" s="349"/>
      <c r="L21" s="350"/>
      <c r="M21" s="351"/>
      <c r="N21" s="258"/>
      <c r="O21" s="258"/>
    </row>
    <row r="22" spans="1:15" ht="14.15" customHeight="1" x14ac:dyDescent="0.3">
      <c r="A22" s="370" t="s">
        <v>99</v>
      </c>
      <c r="B22" s="443"/>
      <c r="C22" s="3"/>
      <c r="D22" s="7"/>
      <c r="E22" s="37"/>
      <c r="F22" s="41"/>
      <c r="G22" s="348"/>
      <c r="H22" s="371"/>
      <c r="I22" s="66"/>
      <c r="J22" s="66"/>
      <c r="K22" s="349"/>
      <c r="L22" s="350"/>
      <c r="M22" s="351"/>
      <c r="N22" s="258"/>
      <c r="O22" s="258"/>
    </row>
    <row r="23" spans="1:15" ht="28.5" customHeight="1" thickBot="1" x14ac:dyDescent="0.35">
      <c r="A23" s="374"/>
      <c r="B23" s="446" t="s">
        <v>100</v>
      </c>
      <c r="C23" s="68" t="s">
        <v>90</v>
      </c>
      <c r="D23" s="68">
        <v>8</v>
      </c>
      <c r="E23" s="69">
        <f>1888.71*1.15</f>
        <v>2172.0164999999997</v>
      </c>
      <c r="F23" s="52">
        <v>0.2</v>
      </c>
      <c r="G23" s="376">
        <f>E23/(1-F23)</f>
        <v>2715.0206249999997</v>
      </c>
      <c r="H23" s="377">
        <f>250*1</f>
        <v>250</v>
      </c>
      <c r="I23" s="83">
        <v>0.15</v>
      </c>
      <c r="J23" s="79">
        <f>H23*(1+I23)</f>
        <v>287.5</v>
      </c>
      <c r="K23" s="349">
        <f>J23*D23</f>
        <v>2300</v>
      </c>
      <c r="L23" s="350">
        <f>G23+J23</f>
        <v>3002.5206249999997</v>
      </c>
      <c r="M23" s="378">
        <f>D23*L23</f>
        <v>24020.164999999997</v>
      </c>
      <c r="N23" s="258"/>
      <c r="O23" s="258"/>
    </row>
    <row r="24" spans="1:15" ht="14.5" customHeight="1" thickBot="1" x14ac:dyDescent="0.35">
      <c r="A24" s="354"/>
      <c r="B24" s="441"/>
      <c r="C24" s="71"/>
      <c r="D24" s="72"/>
      <c r="E24" s="73"/>
      <c r="F24" s="74"/>
      <c r="G24" s="356"/>
      <c r="H24" s="356"/>
      <c r="I24" s="73"/>
      <c r="J24" s="73"/>
      <c r="K24" s="357"/>
      <c r="L24" s="358"/>
      <c r="M24" s="358"/>
      <c r="N24" s="258"/>
      <c r="O24" s="258"/>
    </row>
    <row r="25" spans="1:15" ht="14.15" customHeight="1" x14ac:dyDescent="0.3">
      <c r="A25" s="379">
        <v>2.5</v>
      </c>
      <c r="B25" s="360"/>
      <c r="C25" s="255"/>
      <c r="D25" s="58" t="s">
        <v>101</v>
      </c>
      <c r="E25" s="56"/>
      <c r="F25" s="57"/>
      <c r="G25" s="361"/>
      <c r="H25" s="361"/>
      <c r="I25" s="56"/>
      <c r="J25" s="56"/>
      <c r="K25" s="362"/>
      <c r="L25" s="363"/>
      <c r="M25" s="363"/>
      <c r="N25" s="258"/>
      <c r="O25" s="258"/>
    </row>
    <row r="26" spans="1:15" ht="14.15" customHeight="1" x14ac:dyDescent="0.3">
      <c r="A26" s="380" t="s">
        <v>102</v>
      </c>
      <c r="B26" s="444" t="s">
        <v>103</v>
      </c>
      <c r="C26" s="7" t="s">
        <v>85</v>
      </c>
      <c r="D26" s="7">
        <f>D11</f>
        <v>66</v>
      </c>
      <c r="E26" s="37">
        <v>650</v>
      </c>
      <c r="F26" s="41">
        <v>0.2</v>
      </c>
      <c r="G26" s="348">
        <f>E26/(1-F26)</f>
        <v>812.5</v>
      </c>
      <c r="H26" s="371">
        <f>(((5*200)*4)*1.2)/D26</f>
        <v>72.727272727272734</v>
      </c>
      <c r="I26" s="83">
        <v>0.15</v>
      </c>
      <c r="J26" s="79">
        <f>H26*(1+I26)</f>
        <v>83.63636363636364</v>
      </c>
      <c r="K26" s="349">
        <f>J26*D26</f>
        <v>5520</v>
      </c>
      <c r="L26" s="350">
        <f>G26+J26</f>
        <v>896.13636363636363</v>
      </c>
      <c r="M26" s="351">
        <f>D26*L26</f>
        <v>59145</v>
      </c>
      <c r="N26" s="258"/>
      <c r="O26" s="258"/>
    </row>
    <row r="27" spans="1:15" ht="14.5" customHeight="1" thickBot="1" x14ac:dyDescent="0.35">
      <c r="A27" s="381"/>
      <c r="B27" s="446" t="s">
        <v>104</v>
      </c>
      <c r="C27" s="49"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441"/>
      <c r="C28" s="71"/>
      <c r="D28" s="72"/>
      <c r="E28" s="73"/>
      <c r="F28" s="74"/>
      <c r="G28" s="356"/>
      <c r="H28" s="356"/>
      <c r="I28" s="73"/>
      <c r="J28" s="73"/>
      <c r="K28" s="357"/>
      <c r="L28" s="358"/>
      <c r="M28" s="358"/>
      <c r="N28" s="258"/>
      <c r="O28" s="258"/>
    </row>
    <row r="29" spans="1:15" ht="14.15" customHeight="1" x14ac:dyDescent="0.3">
      <c r="A29" s="359">
        <v>2.6</v>
      </c>
      <c r="B29" s="360"/>
      <c r="C29" s="255"/>
      <c r="D29" s="58" t="s">
        <v>105</v>
      </c>
      <c r="E29" s="56"/>
      <c r="F29" s="57"/>
      <c r="G29" s="361"/>
      <c r="H29" s="361"/>
      <c r="I29" s="56"/>
      <c r="J29" s="56"/>
      <c r="K29" s="362"/>
      <c r="L29" s="363"/>
      <c r="M29" s="363"/>
      <c r="N29" s="258"/>
      <c r="O29" s="258"/>
    </row>
    <row r="30" spans="1:15" ht="42" customHeight="1" x14ac:dyDescent="0.3">
      <c r="A30" s="341" t="s">
        <v>106</v>
      </c>
      <c r="B30" s="444" t="s">
        <v>107</v>
      </c>
      <c r="C30" s="248" t="s">
        <v>108</v>
      </c>
      <c r="D30" s="1">
        <f>250</f>
        <v>250</v>
      </c>
      <c r="E30" s="36">
        <f>14.85*1.15</f>
        <v>17.077499999999997</v>
      </c>
      <c r="F30" s="41">
        <v>0.2</v>
      </c>
      <c r="G30" s="348">
        <f>E30/(1-F30)</f>
        <v>21.346874999999994</v>
      </c>
      <c r="H30" s="348">
        <f>39</f>
        <v>39</v>
      </c>
      <c r="I30" s="83">
        <v>0.15</v>
      </c>
      <c r="J30" s="79">
        <f>H30*(1+I30)</f>
        <v>44.849999999999994</v>
      </c>
      <c r="K30" s="349">
        <f>J30*D30</f>
        <v>11212.499999999998</v>
      </c>
      <c r="L30" s="350">
        <f>G30+J30</f>
        <v>66.196874999999991</v>
      </c>
      <c r="M30" s="351">
        <f>D30*L30</f>
        <v>16549.218749999996</v>
      </c>
      <c r="N30" s="258"/>
      <c r="O30" s="258"/>
    </row>
    <row r="31" spans="1:15" ht="14.15" customHeight="1" x14ac:dyDescent="0.3">
      <c r="A31" s="341" t="s">
        <v>109</v>
      </c>
      <c r="B31" s="443" t="s">
        <v>110</v>
      </c>
      <c r="C31" s="30" t="s">
        <v>108</v>
      </c>
      <c r="D31" s="1">
        <f>8 +N("2m * 4 cables")</f>
        <v>8</v>
      </c>
      <c r="E31" s="36">
        <f>180*1.15</f>
        <v>206.99999999999997</v>
      </c>
      <c r="F31" s="41">
        <v>0.2</v>
      </c>
      <c r="G31" s="348">
        <f>E31/(1-F31)</f>
        <v>258.74999999999994</v>
      </c>
      <c r="H31" s="348">
        <f>65</f>
        <v>65</v>
      </c>
      <c r="I31" s="83">
        <v>0.15</v>
      </c>
      <c r="J31" s="79">
        <f>H31*(1+I31)</f>
        <v>74.75</v>
      </c>
      <c r="K31" s="349">
        <f>J31*D31</f>
        <v>598</v>
      </c>
      <c r="L31" s="350">
        <f>G31+J31</f>
        <v>333.49999999999994</v>
      </c>
      <c r="M31" s="351">
        <f>D31*L31</f>
        <v>2667.9999999999995</v>
      </c>
      <c r="N31" s="258"/>
      <c r="O31" s="258"/>
    </row>
    <row r="32" spans="1:15" ht="14.15" customHeight="1" x14ac:dyDescent="0.3">
      <c r="A32" s="341" t="s">
        <v>111</v>
      </c>
      <c r="B32" s="443" t="s">
        <v>112</v>
      </c>
      <c r="C32" s="30"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258"/>
    </row>
    <row r="33" spans="1:15" ht="14.5" customHeight="1" thickBot="1" x14ac:dyDescent="0.35">
      <c r="A33" s="381"/>
      <c r="B33" s="447" t="s">
        <v>113</v>
      </c>
      <c r="C33" s="49"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441"/>
      <c r="C34" s="71"/>
      <c r="D34" s="72"/>
      <c r="E34" s="73"/>
      <c r="F34" s="74"/>
      <c r="G34" s="356"/>
      <c r="H34" s="356"/>
      <c r="I34" s="73"/>
      <c r="J34" s="73"/>
      <c r="K34" s="357"/>
      <c r="L34" s="358"/>
      <c r="M34" s="358"/>
      <c r="N34" s="258"/>
      <c r="O34" s="258"/>
    </row>
    <row r="35" spans="1:15" ht="14.15" customHeight="1" x14ac:dyDescent="0.3">
      <c r="A35" s="359">
        <v>2.7</v>
      </c>
      <c r="B35" s="360"/>
      <c r="C35" s="255"/>
      <c r="D35" s="58" t="s">
        <v>114</v>
      </c>
      <c r="E35" s="56"/>
      <c r="F35" s="57"/>
      <c r="G35" s="361"/>
      <c r="H35" s="361"/>
      <c r="I35" s="56"/>
      <c r="J35" s="56"/>
      <c r="K35" s="362"/>
      <c r="L35" s="363"/>
      <c r="M35" s="363"/>
      <c r="N35" s="258"/>
      <c r="O35" s="258"/>
    </row>
    <row r="36" spans="1:15" ht="28" customHeight="1" x14ac:dyDescent="0.3">
      <c r="A36" s="370" t="s">
        <v>115</v>
      </c>
      <c r="B36" s="444" t="s">
        <v>116</v>
      </c>
      <c r="C36" s="7" t="s">
        <v>85</v>
      </c>
      <c r="D36" s="7">
        <v>1</v>
      </c>
      <c r="E36" s="37">
        <f>13501.37*1.2</f>
        <v>16201.644</v>
      </c>
      <c r="F36" s="41">
        <v>0.2</v>
      </c>
      <c r="G36" s="348">
        <f>E36/(1-F36)</f>
        <v>20252.055</v>
      </c>
      <c r="H36" s="371">
        <f>250*2</f>
        <v>500</v>
      </c>
      <c r="I36" s="83">
        <v>0.15</v>
      </c>
      <c r="J36" s="79">
        <f>H36*(1+I36)</f>
        <v>575</v>
      </c>
      <c r="K36" s="349">
        <f>J36*D36</f>
        <v>575</v>
      </c>
      <c r="L36" s="350">
        <f>G36+J36</f>
        <v>20827.055</v>
      </c>
      <c r="M36" s="351">
        <f>D36*L36</f>
        <v>20827.055</v>
      </c>
      <c r="N36" s="258"/>
      <c r="O36" s="258"/>
    </row>
    <row r="37" spans="1:15" ht="28.5" customHeight="1" thickBot="1" x14ac:dyDescent="0.35">
      <c r="A37" s="381" t="s">
        <v>117</v>
      </c>
      <c r="B37" s="446" t="s">
        <v>118</v>
      </c>
      <c r="C37" s="68" t="s">
        <v>85</v>
      </c>
      <c r="D37" s="68">
        <v>0</v>
      </c>
      <c r="E37" s="69">
        <f>13501.37*1.2</f>
        <v>16201.644</v>
      </c>
      <c r="F37" s="52">
        <v>0.2</v>
      </c>
      <c r="G37" s="376">
        <f>E37/(1-F37)</f>
        <v>20252.055</v>
      </c>
      <c r="H37" s="377">
        <f>250*2</f>
        <v>500</v>
      </c>
      <c r="I37" s="83">
        <v>0.15</v>
      </c>
      <c r="J37" s="79">
        <f>H37*(1+I37)</f>
        <v>575</v>
      </c>
      <c r="K37" s="382">
        <f>J37*D37</f>
        <v>0</v>
      </c>
      <c r="L37" s="350">
        <f>G37+J37</f>
        <v>20827.055</v>
      </c>
      <c r="M37" s="378">
        <f>D37*L37</f>
        <v>0</v>
      </c>
      <c r="N37" s="258"/>
      <c r="O37" s="258"/>
    </row>
    <row r="38" spans="1:15" ht="14.5" customHeight="1" thickBot="1" x14ac:dyDescent="0.35">
      <c r="A38" s="354"/>
      <c r="B38" s="441"/>
      <c r="C38" s="71"/>
      <c r="D38" s="72"/>
      <c r="E38" s="73"/>
      <c r="F38" s="74"/>
      <c r="G38" s="356"/>
      <c r="H38" s="356"/>
      <c r="I38" s="73"/>
      <c r="J38" s="73"/>
      <c r="K38" s="357"/>
      <c r="L38" s="358"/>
      <c r="M38" s="358"/>
      <c r="N38" s="258"/>
      <c r="O38" s="258"/>
    </row>
    <row r="39" spans="1:15" ht="16.5" customHeight="1" x14ac:dyDescent="0.3">
      <c r="A39" s="359">
        <v>2.8</v>
      </c>
      <c r="B39" s="360"/>
      <c r="C39" s="255"/>
      <c r="D39" s="58" t="s">
        <v>119</v>
      </c>
      <c r="E39" s="56"/>
      <c r="F39" s="57"/>
      <c r="G39" s="361"/>
      <c r="H39" s="361"/>
      <c r="I39" s="56"/>
      <c r="J39" s="56"/>
      <c r="K39" s="362"/>
      <c r="L39" s="363"/>
      <c r="M39" s="363"/>
      <c r="N39" s="258"/>
      <c r="O39" s="258"/>
    </row>
    <row r="40" spans="1:15" ht="16.5" customHeight="1" x14ac:dyDescent="0.3">
      <c r="A40" s="384"/>
      <c r="B40" s="342"/>
      <c r="C40" s="30"/>
      <c r="D40" s="1"/>
      <c r="E40" s="36"/>
      <c r="F40" s="41"/>
      <c r="G40" s="348"/>
      <c r="H40" s="348"/>
      <c r="I40" s="83"/>
      <c r="J40" s="79"/>
      <c r="K40" s="349"/>
      <c r="L40" s="350"/>
      <c r="M40" s="351"/>
      <c r="N40" s="258"/>
      <c r="O40" s="258"/>
    </row>
    <row r="41" spans="1:15" ht="14.15" customHeight="1" x14ac:dyDescent="0.3">
      <c r="A41" s="341" t="s">
        <v>120</v>
      </c>
      <c r="B41" s="385" t="s">
        <v>121</v>
      </c>
      <c r="C41" s="30" t="s">
        <v>85</v>
      </c>
      <c r="D41" s="1">
        <f>2 + N("AC in, AC Out")</f>
        <v>2</v>
      </c>
      <c r="E41" s="36">
        <v>2500</v>
      </c>
      <c r="F41" s="41">
        <v>0.2</v>
      </c>
      <c r="G41" s="348">
        <f>E41/(1-F41)</f>
        <v>3125</v>
      </c>
      <c r="H41" s="348">
        <f>(250+100)*4</f>
        <v>1400</v>
      </c>
      <c r="I41" s="83">
        <v>0.15</v>
      </c>
      <c r="J41" s="79">
        <f>H41*(1+I41)</f>
        <v>1609.9999999999998</v>
      </c>
      <c r="K41" s="349">
        <f>J41*D41</f>
        <v>3219.9999999999995</v>
      </c>
      <c r="L41" s="350">
        <f>G41+J41</f>
        <v>4735</v>
      </c>
      <c r="M41" s="351">
        <f>D41*L41</f>
        <v>9470</v>
      </c>
      <c r="N41" s="258"/>
      <c r="O41" s="258"/>
    </row>
    <row r="42" spans="1:15" ht="14.15" customHeight="1" x14ac:dyDescent="0.3">
      <c r="A42" s="341"/>
      <c r="B42" s="448"/>
      <c r="C42" s="27"/>
      <c r="D42" s="1"/>
      <c r="E42" s="36"/>
      <c r="F42" s="41"/>
      <c r="G42" s="348"/>
      <c r="H42" s="348"/>
      <c r="I42" s="79"/>
      <c r="J42" s="79"/>
      <c r="K42" s="349"/>
      <c r="L42" s="350"/>
      <c r="M42" s="351"/>
      <c r="N42" s="258"/>
      <c r="O42" s="258"/>
    </row>
    <row r="43" spans="1:15" ht="14.15" customHeight="1" x14ac:dyDescent="0.3">
      <c r="A43" s="341" t="s">
        <v>122</v>
      </c>
      <c r="B43" s="385" t="s">
        <v>123</v>
      </c>
      <c r="C43" s="30" t="s">
        <v>85</v>
      </c>
      <c r="D43" s="1">
        <v>0</v>
      </c>
      <c r="E43" s="36">
        <v>1800</v>
      </c>
      <c r="F43" s="41">
        <v>0.2</v>
      </c>
      <c r="G43" s="348">
        <f>E43/(1-F43)</f>
        <v>2250</v>
      </c>
      <c r="H43" s="348">
        <f>(250+100)*4</f>
        <v>1400</v>
      </c>
      <c r="I43" s="83">
        <v>0.15</v>
      </c>
      <c r="J43" s="79">
        <f>H43*(1+I43)</f>
        <v>1609.9999999999998</v>
      </c>
      <c r="K43" s="349">
        <f>J43*D43</f>
        <v>0</v>
      </c>
      <c r="L43" s="350">
        <f>G43+J43</f>
        <v>3860</v>
      </c>
      <c r="M43" s="351">
        <f>D43*L43</f>
        <v>0</v>
      </c>
      <c r="N43" s="258"/>
      <c r="O43" s="258"/>
    </row>
    <row r="44" spans="1:15" ht="14.15" customHeight="1" x14ac:dyDescent="0.3">
      <c r="A44" s="341"/>
      <c r="B44" s="385"/>
      <c r="C44" s="30"/>
      <c r="D44" s="1"/>
      <c r="E44" s="36"/>
      <c r="F44" s="41"/>
      <c r="G44" s="348"/>
      <c r="H44" s="348"/>
      <c r="I44" s="79"/>
      <c r="J44" s="79"/>
      <c r="K44" s="349"/>
      <c r="L44" s="350"/>
      <c r="M44" s="351"/>
      <c r="N44" s="258"/>
      <c r="O44" s="258"/>
    </row>
    <row r="45" spans="1:15" ht="14.15" customHeight="1" x14ac:dyDescent="0.3">
      <c r="A45" s="341" t="s">
        <v>124</v>
      </c>
      <c r="B45" s="385" t="s">
        <v>125</v>
      </c>
      <c r="C45" s="30" t="s">
        <v>85</v>
      </c>
      <c r="D45" s="1">
        <f>2 + N("Isolators: AC in, AC out")</f>
        <v>2</v>
      </c>
      <c r="E45" s="36">
        <f>550*1.2</f>
        <v>660</v>
      </c>
      <c r="F45" s="41">
        <v>0.2</v>
      </c>
      <c r="G45" s="348">
        <f>E45/(1-F45)</f>
        <v>825</v>
      </c>
      <c r="H45" s="348">
        <f>(250+100)*4</f>
        <v>1400</v>
      </c>
      <c r="I45" s="83">
        <v>0.15</v>
      </c>
      <c r="J45" s="79">
        <f>H45*(1+I45)</f>
        <v>1609.9999999999998</v>
      </c>
      <c r="K45" s="349">
        <f>J45*D45</f>
        <v>3219.9999999999995</v>
      </c>
      <c r="L45" s="350">
        <f>G45+J45</f>
        <v>2435</v>
      </c>
      <c r="M45" s="351">
        <f>D45*L45</f>
        <v>4870</v>
      </c>
      <c r="N45" s="258"/>
      <c r="O45" s="258"/>
    </row>
    <row r="46" spans="1:15" ht="14.15" customHeight="1" x14ac:dyDescent="0.3">
      <c r="A46" s="341"/>
      <c r="B46" s="387"/>
      <c r="C46" s="27"/>
      <c r="D46" s="1"/>
      <c r="E46" s="36"/>
      <c r="F46" s="41"/>
      <c r="G46" s="348"/>
      <c r="H46" s="348"/>
      <c r="I46" s="79"/>
      <c r="J46" s="79"/>
      <c r="K46" s="349"/>
      <c r="L46" s="350"/>
      <c r="M46" s="351"/>
      <c r="N46" s="258"/>
      <c r="O46" s="258"/>
    </row>
    <row r="47" spans="1:15" ht="14.5" customHeight="1" thickBot="1" x14ac:dyDescent="0.35">
      <c r="A47" s="381" t="s">
        <v>126</v>
      </c>
      <c r="B47" s="388" t="s">
        <v>127</v>
      </c>
      <c r="C47" s="49" t="s">
        <v>85</v>
      </c>
      <c r="D47" s="50">
        <v>1</v>
      </c>
      <c r="E47" s="51">
        <f>550*1.2</f>
        <v>660</v>
      </c>
      <c r="F47" s="52">
        <v>0.2</v>
      </c>
      <c r="G47" s="376">
        <f>E47/(1-F47)</f>
        <v>825</v>
      </c>
      <c r="H47" s="376">
        <f>(250+100)*4</f>
        <v>1400</v>
      </c>
      <c r="I47" s="83">
        <v>0.15</v>
      </c>
      <c r="J47" s="79">
        <f>H47*(1+I47)</f>
        <v>1609.9999999999998</v>
      </c>
      <c r="K47" s="349">
        <f>J47*D47</f>
        <v>1609.9999999999998</v>
      </c>
      <c r="L47" s="350">
        <f>G47+J47</f>
        <v>2435</v>
      </c>
      <c r="M47" s="378">
        <f>D47*L47</f>
        <v>2435</v>
      </c>
      <c r="N47" s="258"/>
      <c r="O47" s="258"/>
    </row>
    <row r="48" spans="1:15" ht="14.5" customHeight="1" thickBot="1" x14ac:dyDescent="0.35">
      <c r="A48" s="354"/>
      <c r="B48" s="441"/>
      <c r="C48" s="71"/>
      <c r="D48" s="72"/>
      <c r="E48" s="73"/>
      <c r="F48" s="74"/>
      <c r="G48" s="356"/>
      <c r="H48" s="356"/>
      <c r="I48" s="73"/>
      <c r="J48" s="73"/>
      <c r="K48" s="357"/>
      <c r="L48" s="358"/>
      <c r="M48" s="358"/>
      <c r="N48" s="258"/>
      <c r="O48" s="258"/>
    </row>
    <row r="49" spans="1:15" ht="16.5" customHeight="1" x14ac:dyDescent="0.3">
      <c r="A49" s="359">
        <v>2.9</v>
      </c>
      <c r="B49" s="367"/>
      <c r="C49" s="255"/>
      <c r="D49" s="58" t="s">
        <v>128</v>
      </c>
      <c r="E49" s="56"/>
      <c r="F49" s="57"/>
      <c r="G49" s="361"/>
      <c r="H49" s="361"/>
      <c r="I49" s="56"/>
      <c r="J49" s="56"/>
      <c r="K49" s="362"/>
      <c r="L49" s="363"/>
      <c r="M49" s="363"/>
      <c r="N49" s="258"/>
      <c r="O49" s="258"/>
    </row>
    <row r="50" spans="1:15" ht="16.5" customHeight="1" x14ac:dyDescent="0.3">
      <c r="A50" s="341"/>
      <c r="B50" s="342"/>
      <c r="C50" s="30"/>
      <c r="D50" s="1"/>
      <c r="E50" s="36"/>
      <c r="F50" s="41"/>
      <c r="G50" s="348"/>
      <c r="H50" s="348"/>
      <c r="I50" s="79"/>
      <c r="J50" s="79"/>
      <c r="K50" s="349"/>
      <c r="L50" s="350"/>
      <c r="M50" s="351"/>
      <c r="N50" s="258"/>
      <c r="O50" s="258"/>
    </row>
    <row r="51" spans="1:15" ht="14.15" customHeight="1" x14ac:dyDescent="0.3">
      <c r="A51" s="341" t="s">
        <v>129</v>
      </c>
      <c r="B51" s="385" t="s">
        <v>130</v>
      </c>
      <c r="C51" s="30" t="s">
        <v>85</v>
      </c>
      <c r="D51" s="1">
        <v>0</v>
      </c>
      <c r="E51" s="36">
        <v>2500</v>
      </c>
      <c r="F51" s="41">
        <v>0.2</v>
      </c>
      <c r="G51" s="348">
        <f>E51/(1-F51)</f>
        <v>3125</v>
      </c>
      <c r="H51" s="348">
        <f>250*1</f>
        <v>250</v>
      </c>
      <c r="I51" s="83">
        <v>0.15</v>
      </c>
      <c r="J51" s="79">
        <f>H51*(1+I51)</f>
        <v>287.5</v>
      </c>
      <c r="K51" s="349">
        <f>J51*D51</f>
        <v>0</v>
      </c>
      <c r="L51" s="350">
        <f>G51+J51</f>
        <v>3412.5</v>
      </c>
      <c r="M51" s="351">
        <f>D51*L51</f>
        <v>0</v>
      </c>
      <c r="N51" s="258"/>
      <c r="O51" s="258"/>
    </row>
    <row r="52" spans="1:15" ht="14.15" customHeight="1" x14ac:dyDescent="0.3">
      <c r="A52" s="341"/>
      <c r="B52" s="385"/>
      <c r="C52" s="30"/>
      <c r="D52" s="1"/>
      <c r="E52" s="36"/>
      <c r="F52" s="41"/>
      <c r="G52" s="348"/>
      <c r="H52" s="348"/>
      <c r="I52" s="79"/>
      <c r="J52" s="79"/>
      <c r="K52" s="349"/>
      <c r="L52" s="350"/>
      <c r="M52" s="351"/>
      <c r="N52" s="258"/>
      <c r="O52" s="258"/>
    </row>
    <row r="53" spans="1:15" ht="14.15" customHeight="1" x14ac:dyDescent="0.3">
      <c r="A53" s="341" t="s">
        <v>131</v>
      </c>
      <c r="B53" s="385" t="s">
        <v>132</v>
      </c>
      <c r="C53" s="30" t="s">
        <v>85</v>
      </c>
      <c r="D53" s="1">
        <f>2 + N("AC in, AC out")</f>
        <v>2</v>
      </c>
      <c r="E53" s="36">
        <v>5729</v>
      </c>
      <c r="F53" s="41">
        <v>0.2</v>
      </c>
      <c r="G53" s="348">
        <f>E53/(1-F53)</f>
        <v>7161.25</v>
      </c>
      <c r="H53" s="348">
        <v>250</v>
      </c>
      <c r="I53" s="83">
        <v>0.15</v>
      </c>
      <c r="J53" s="79">
        <f>H53*(1+I53)</f>
        <v>287.5</v>
      </c>
      <c r="K53" s="349">
        <f>J53*D53</f>
        <v>575</v>
      </c>
      <c r="L53" s="350">
        <f>G53+J53</f>
        <v>7448.75</v>
      </c>
      <c r="M53" s="351">
        <f>D53*L53</f>
        <v>14897.5</v>
      </c>
      <c r="N53" s="258"/>
      <c r="O53" s="258"/>
    </row>
    <row r="54" spans="1:15" ht="14.15" customHeight="1" x14ac:dyDescent="0.3">
      <c r="A54" s="341"/>
      <c r="B54" s="387"/>
      <c r="C54" s="27"/>
      <c r="D54" s="1"/>
      <c r="E54" s="36"/>
      <c r="F54" s="41"/>
      <c r="G54" s="348"/>
      <c r="H54" s="348"/>
      <c r="I54" s="79"/>
      <c r="J54" s="79"/>
      <c r="K54" s="349"/>
      <c r="L54" s="350"/>
      <c r="M54" s="351"/>
      <c r="N54" s="258"/>
      <c r="O54" s="258"/>
    </row>
    <row r="55" spans="1:15" ht="14.15" customHeight="1" x14ac:dyDescent="0.3">
      <c r="A55" s="341" t="s">
        <v>133</v>
      </c>
      <c r="B55" s="387" t="s">
        <v>134</v>
      </c>
      <c r="C55" s="30" t="s">
        <v>85</v>
      </c>
      <c r="D55" s="1">
        <v>1</v>
      </c>
      <c r="E55" s="36">
        <f>5729</f>
        <v>5729</v>
      </c>
      <c r="F55" s="41">
        <v>0.2</v>
      </c>
      <c r="G55" s="348">
        <f>E55/(1-F55)</f>
        <v>7161.25</v>
      </c>
      <c r="H55" s="348">
        <v>250</v>
      </c>
      <c r="I55" s="83">
        <v>0.15</v>
      </c>
      <c r="J55" s="79">
        <f>H55*(1+I55)</f>
        <v>287.5</v>
      </c>
      <c r="K55" s="349">
        <f>J55*D55</f>
        <v>287.5</v>
      </c>
      <c r="L55" s="350">
        <f>G55+J55</f>
        <v>7448.75</v>
      </c>
      <c r="M55" s="351">
        <f>D55*L55</f>
        <v>7448.75</v>
      </c>
      <c r="N55" s="258"/>
      <c r="O55" s="258"/>
    </row>
    <row r="56" spans="1:15" ht="14.15" customHeight="1" x14ac:dyDescent="0.3">
      <c r="A56" s="341"/>
      <c r="B56" s="387"/>
      <c r="C56" s="29"/>
      <c r="D56" s="1"/>
      <c r="E56" s="36"/>
      <c r="F56" s="41"/>
      <c r="G56" s="348"/>
      <c r="H56" s="348"/>
      <c r="I56" s="79"/>
      <c r="J56" s="79"/>
      <c r="K56" s="349"/>
      <c r="L56" s="350"/>
      <c r="M56" s="351"/>
      <c r="N56" s="258"/>
      <c r="O56" s="258"/>
    </row>
    <row r="57" spans="1:15" ht="28" customHeight="1" x14ac:dyDescent="0.3">
      <c r="A57" s="341" t="s">
        <v>135</v>
      </c>
      <c r="B57" s="385" t="s">
        <v>136</v>
      </c>
      <c r="C57" s="248" t="s">
        <v>85</v>
      </c>
      <c r="D57" s="1">
        <v>3</v>
      </c>
      <c r="E57" s="36">
        <v>350</v>
      </c>
      <c r="F57" s="41">
        <v>0.2</v>
      </c>
      <c r="G57" s="348">
        <f>E57/(1-F57)</f>
        <v>437.5</v>
      </c>
      <c r="H57" s="348">
        <v>250</v>
      </c>
      <c r="I57" s="83">
        <v>0.15</v>
      </c>
      <c r="J57" s="79">
        <f>H57*(1+I57)</f>
        <v>287.5</v>
      </c>
      <c r="K57" s="349">
        <f>J57*D57</f>
        <v>862.5</v>
      </c>
      <c r="L57" s="350">
        <f>G57+J57</f>
        <v>725</v>
      </c>
      <c r="M57" s="351">
        <f>D57*L57</f>
        <v>2175</v>
      </c>
      <c r="N57" s="258"/>
      <c r="O57" s="258"/>
    </row>
    <row r="58" spans="1:15" ht="14.15" customHeight="1" x14ac:dyDescent="0.3">
      <c r="A58" s="341"/>
      <c r="B58" s="387"/>
      <c r="C58" s="27"/>
      <c r="D58" s="1"/>
      <c r="E58" s="36"/>
      <c r="F58" s="41"/>
      <c r="G58" s="348"/>
      <c r="H58" s="348"/>
      <c r="I58" s="79"/>
      <c r="J58" s="79"/>
      <c r="K58" s="349"/>
      <c r="L58" s="350"/>
      <c r="M58" s="351"/>
      <c r="N58" s="258"/>
      <c r="O58" s="258"/>
    </row>
    <row r="59" spans="1:15" ht="14.15" customHeight="1" x14ac:dyDescent="0.3">
      <c r="A59" s="341" t="s">
        <v>137</v>
      </c>
      <c r="B59" s="385" t="s">
        <v>138</v>
      </c>
      <c r="C59" s="248" t="s">
        <v>108</v>
      </c>
      <c r="D59" s="1">
        <v>20</v>
      </c>
      <c r="E59" s="36">
        <f>35</f>
        <v>35</v>
      </c>
      <c r="F59" s="41">
        <v>0.2</v>
      </c>
      <c r="G59" s="348">
        <f>E59/(1-F59)</f>
        <v>43.75</v>
      </c>
      <c r="H59" s="348">
        <f>(65*3)</f>
        <v>195</v>
      </c>
      <c r="I59" s="83">
        <v>0.15</v>
      </c>
      <c r="J59" s="79">
        <f>H59*(1+I59)</f>
        <v>224.24999999999997</v>
      </c>
      <c r="K59" s="349">
        <f>J59*D59</f>
        <v>4484.9999999999991</v>
      </c>
      <c r="L59" s="350">
        <f>G59+J59</f>
        <v>268</v>
      </c>
      <c r="M59" s="351">
        <f>D59*L59</f>
        <v>5360</v>
      </c>
      <c r="N59" s="258"/>
      <c r="O59" s="258"/>
    </row>
    <row r="60" spans="1:15" ht="14.15" customHeight="1" x14ac:dyDescent="0.3">
      <c r="A60" s="341"/>
      <c r="B60" s="387"/>
      <c r="C60" s="29"/>
      <c r="D60" s="1"/>
      <c r="E60" s="36"/>
      <c r="F60" s="41"/>
      <c r="G60" s="348"/>
      <c r="H60" s="348"/>
      <c r="I60" s="79"/>
      <c r="J60" s="79"/>
      <c r="K60" s="349"/>
      <c r="L60" s="350"/>
      <c r="M60" s="351"/>
      <c r="N60" s="258"/>
      <c r="O60" s="258"/>
    </row>
    <row r="61" spans="1:15" ht="14.5" customHeight="1" thickBot="1" x14ac:dyDescent="0.35">
      <c r="A61" s="341" t="s">
        <v>139</v>
      </c>
      <c r="B61" s="385" t="s">
        <v>140</v>
      </c>
      <c r="C61" s="30" t="s">
        <v>42</v>
      </c>
      <c r="D61" s="1">
        <v>1</v>
      </c>
      <c r="E61" s="36">
        <v>1</v>
      </c>
      <c r="F61" s="41">
        <v>0.2</v>
      </c>
      <c r="G61" s="348">
        <f>E61/(1-F61)</f>
        <v>1.25</v>
      </c>
      <c r="H61" s="348">
        <f>2500*3</f>
        <v>7500</v>
      </c>
      <c r="I61" s="83">
        <v>0.15</v>
      </c>
      <c r="J61" s="79">
        <f>H61*(1+I61)</f>
        <v>8625</v>
      </c>
      <c r="K61" s="349">
        <f>J61*D61</f>
        <v>8625</v>
      </c>
      <c r="L61" s="350">
        <f>G61+J61</f>
        <v>8626.25</v>
      </c>
      <c r="M61" s="351">
        <f>D61*L61</f>
        <v>8626.25</v>
      </c>
      <c r="N61" s="258"/>
      <c r="O61" s="258"/>
    </row>
    <row r="62" spans="1:15" ht="14.5" customHeight="1" thickBot="1" x14ac:dyDescent="0.35">
      <c r="A62" s="354"/>
      <c r="B62" s="441"/>
      <c r="C62" s="71"/>
      <c r="D62" s="72"/>
      <c r="E62" s="73"/>
      <c r="F62" s="74"/>
      <c r="G62" s="356"/>
      <c r="H62" s="356"/>
      <c r="I62" s="73"/>
      <c r="J62" s="73"/>
      <c r="K62" s="357"/>
      <c r="L62" s="358"/>
      <c r="M62" s="358"/>
      <c r="N62" s="258"/>
      <c r="O62" s="258"/>
    </row>
    <row r="63" spans="1:15" ht="14.15" customHeight="1" x14ac:dyDescent="0.3">
      <c r="A63" s="389">
        <v>2.1</v>
      </c>
      <c r="B63" s="390"/>
      <c r="C63" s="251"/>
      <c r="D63" s="65" t="s">
        <v>141</v>
      </c>
      <c r="E63" s="53"/>
      <c r="F63" s="54"/>
      <c r="G63" s="391"/>
      <c r="H63" s="391"/>
      <c r="I63" s="53"/>
      <c r="J63" s="53"/>
      <c r="K63" s="392"/>
      <c r="L63" s="393"/>
      <c r="M63" s="393"/>
      <c r="N63" s="258"/>
      <c r="O63" s="258"/>
    </row>
    <row r="64" spans="1:15" ht="28" customHeight="1" x14ac:dyDescent="0.3">
      <c r="A64" s="370" t="s">
        <v>142</v>
      </c>
      <c r="B64" s="444" t="s">
        <v>143</v>
      </c>
      <c r="C64" s="7" t="s">
        <v>85</v>
      </c>
      <c r="D64" s="7">
        <v>2</v>
      </c>
      <c r="E64" s="37">
        <v>10000</v>
      </c>
      <c r="F64" s="41">
        <v>0.16</v>
      </c>
      <c r="G64" s="348">
        <f>E64/(1-F64)</f>
        <v>11904.761904761905</v>
      </c>
      <c r="H64" s="371">
        <v>200</v>
      </c>
      <c r="I64" s="83">
        <v>0.15</v>
      </c>
      <c r="J64" s="79">
        <f>H64*(1+I64)</f>
        <v>229.99999999999997</v>
      </c>
      <c r="K64" s="349">
        <f>J64*D64</f>
        <v>459.99999999999994</v>
      </c>
      <c r="L64" s="350">
        <f>G64+J64</f>
        <v>12134.761904761905</v>
      </c>
      <c r="M64" s="351">
        <f>D64*L64</f>
        <v>24269.523809523809</v>
      </c>
      <c r="N64" s="258"/>
      <c r="O64" s="258"/>
    </row>
    <row r="65" spans="1:15" ht="14.15" customHeight="1" x14ac:dyDescent="0.3">
      <c r="A65" s="394"/>
      <c r="B65" s="395"/>
      <c r="C65" s="30"/>
      <c r="D65" s="248"/>
      <c r="E65" s="36"/>
      <c r="F65" s="41"/>
      <c r="G65" s="348"/>
      <c r="H65" s="348"/>
      <c r="I65" s="79"/>
      <c r="J65" s="79"/>
      <c r="K65" s="349"/>
      <c r="L65" s="350"/>
      <c r="M65" s="351"/>
      <c r="N65" s="258"/>
      <c r="O65" s="258"/>
    </row>
    <row r="66" spans="1:15" ht="28.5" customHeight="1" thickBot="1" x14ac:dyDescent="0.35">
      <c r="A66" s="396" t="s">
        <v>144</v>
      </c>
      <c r="B66" s="446" t="s">
        <v>145</v>
      </c>
      <c r="C66" s="68" t="s">
        <v>85</v>
      </c>
      <c r="D66" s="68">
        <v>0</v>
      </c>
      <c r="E66" s="69">
        <v>7500</v>
      </c>
      <c r="F66" s="52">
        <v>0.16</v>
      </c>
      <c r="G66" s="376">
        <f>E66/(1-F66)</f>
        <v>8928.5714285714294</v>
      </c>
      <c r="H66" s="377">
        <v>200</v>
      </c>
      <c r="I66" s="83">
        <v>0.15</v>
      </c>
      <c r="J66" s="79">
        <f>H66*(1+I66)</f>
        <v>229.99999999999997</v>
      </c>
      <c r="K66" s="382">
        <f>J66*D66</f>
        <v>0</v>
      </c>
      <c r="L66" s="350">
        <f>G66+J66</f>
        <v>9158.5714285714294</v>
      </c>
      <c r="M66" s="378">
        <f>D66*L66</f>
        <v>0</v>
      </c>
      <c r="N66" s="258"/>
      <c r="O66" s="258"/>
    </row>
    <row r="67" spans="1:15" ht="14.5" customHeight="1" thickBot="1" x14ac:dyDescent="0.35">
      <c r="A67" s="397"/>
      <c r="B67" s="449"/>
      <c r="C67" s="71"/>
      <c r="D67" s="72"/>
      <c r="E67" s="73"/>
      <c r="F67" s="74"/>
      <c r="G67" s="356"/>
      <c r="H67" s="356"/>
      <c r="I67" s="73"/>
      <c r="J67" s="73"/>
      <c r="K67" s="357"/>
      <c r="L67" s="358"/>
      <c r="M67" s="358"/>
      <c r="N67" s="258"/>
      <c r="O67" s="258"/>
    </row>
    <row r="68" spans="1:15" ht="14.15" customHeight="1" x14ac:dyDescent="0.3">
      <c r="A68" s="359">
        <v>2.11</v>
      </c>
      <c r="B68" s="450"/>
      <c r="C68" s="75"/>
      <c r="D68" s="58" t="s">
        <v>146</v>
      </c>
      <c r="E68" s="56"/>
      <c r="F68" s="57"/>
      <c r="G68" s="361"/>
      <c r="H68" s="361"/>
      <c r="I68" s="56"/>
      <c r="J68" s="56"/>
      <c r="K68" s="362"/>
      <c r="L68" s="363"/>
      <c r="M68" s="363"/>
      <c r="N68" s="258"/>
      <c r="O68" s="258"/>
    </row>
    <row r="69" spans="1:15" ht="14.15" customHeight="1" x14ac:dyDescent="0.3">
      <c r="A69" s="341"/>
      <c r="B69" s="444"/>
      <c r="C69" s="70"/>
      <c r="D69" s="1"/>
      <c r="E69" s="36"/>
      <c r="F69" s="41"/>
      <c r="G69" s="348"/>
      <c r="H69" s="348"/>
      <c r="I69" s="79"/>
      <c r="J69" s="79"/>
      <c r="K69" s="349"/>
      <c r="L69" s="350"/>
      <c r="M69" s="351"/>
      <c r="N69" s="258"/>
      <c r="O69" s="258"/>
    </row>
    <row r="70" spans="1:15" ht="14.15" customHeight="1" x14ac:dyDescent="0.3">
      <c r="A70" s="341"/>
      <c r="B70" s="443" t="s">
        <v>147</v>
      </c>
      <c r="C70" s="27"/>
      <c r="D70" s="1"/>
      <c r="E70" s="36"/>
      <c r="F70" s="41"/>
      <c r="G70" s="348"/>
      <c r="H70" s="348"/>
      <c r="I70" s="79"/>
      <c r="J70" s="79"/>
      <c r="K70" s="349"/>
      <c r="L70" s="350"/>
      <c r="M70" s="351"/>
      <c r="N70" s="258"/>
      <c r="O70" s="258"/>
    </row>
    <row r="71" spans="1:15" ht="14.15" customHeight="1" x14ac:dyDescent="0.3">
      <c r="A71" s="341"/>
      <c r="B71" s="448"/>
      <c r="C71" s="27"/>
      <c r="D71" s="1"/>
      <c r="E71" s="36"/>
      <c r="F71" s="41"/>
      <c r="G71" s="348"/>
      <c r="H71" s="348"/>
      <c r="I71" s="79"/>
      <c r="J71" s="79"/>
      <c r="K71" s="349"/>
      <c r="L71" s="350"/>
      <c r="M71" s="351"/>
      <c r="N71" s="258"/>
      <c r="O71" s="258"/>
    </row>
    <row r="72" spans="1:15" ht="42" customHeight="1" x14ac:dyDescent="0.3">
      <c r="A72" s="341"/>
      <c r="B72" s="448" t="s">
        <v>148</v>
      </c>
      <c r="C72" s="27"/>
      <c r="D72" s="248"/>
      <c r="E72" s="36"/>
      <c r="F72" s="41"/>
      <c r="G72" s="348"/>
      <c r="H72" s="348"/>
      <c r="I72" s="79"/>
      <c r="J72" s="79"/>
      <c r="K72" s="349"/>
      <c r="L72" s="350"/>
      <c r="M72" s="351"/>
      <c r="N72" s="258"/>
      <c r="O72" s="258"/>
    </row>
    <row r="73" spans="1:15" ht="14.15" customHeight="1" x14ac:dyDescent="0.3">
      <c r="A73" s="384"/>
      <c r="B73" s="443"/>
      <c r="C73" s="27"/>
      <c r="D73" s="28"/>
      <c r="E73" s="38"/>
      <c r="F73" s="41"/>
      <c r="G73" s="348"/>
      <c r="H73" s="400"/>
      <c r="I73" s="81"/>
      <c r="J73" s="81"/>
      <c r="K73" s="349"/>
      <c r="L73" s="350"/>
      <c r="M73" s="351"/>
      <c r="N73" s="258"/>
      <c r="O73" s="258"/>
    </row>
    <row r="74" spans="1:15" ht="14.15" customHeight="1" x14ac:dyDescent="0.3">
      <c r="A74" s="341" t="s">
        <v>149</v>
      </c>
      <c r="B74" s="443" t="s">
        <v>150</v>
      </c>
      <c r="C74" s="27" t="s">
        <v>108</v>
      </c>
      <c r="D74" s="1">
        <v>0</v>
      </c>
      <c r="E74" s="36">
        <v>947.75</v>
      </c>
      <c r="F74" s="41">
        <v>0.25</v>
      </c>
      <c r="G74" s="348">
        <f t="shared" ref="G74:G79" si="0">E74/(1-F74)</f>
        <v>1263.6666666666667</v>
      </c>
      <c r="H74" s="348">
        <v>25</v>
      </c>
      <c r="I74" s="83">
        <v>0.15</v>
      </c>
      <c r="J74" s="79">
        <f t="shared" ref="J74:J79" si="1">H74*(1+I74)</f>
        <v>28.749999999999996</v>
      </c>
      <c r="K74" s="349">
        <f t="shared" ref="K74:K79" si="2">J74*D74</f>
        <v>0</v>
      </c>
      <c r="L74" s="350">
        <f t="shared" ref="L74:L79" si="3">G74+J74</f>
        <v>1292.4166666666667</v>
      </c>
      <c r="M74" s="351">
        <f t="shared" ref="M74:M79" si="4">D74*L74</f>
        <v>0</v>
      </c>
      <c r="N74" s="258"/>
      <c r="O74" s="258"/>
    </row>
    <row r="75" spans="1:15" ht="14.15" customHeight="1" x14ac:dyDescent="0.3">
      <c r="A75" s="341" t="s">
        <v>151</v>
      </c>
      <c r="B75" s="443" t="s">
        <v>152</v>
      </c>
      <c r="C75" s="27" t="s">
        <v>108</v>
      </c>
      <c r="D75" s="1">
        <f>4 + N("2m per 2 DB's with 50m2 incomers")</f>
        <v>4</v>
      </c>
      <c r="E75" s="36">
        <v>686.12</v>
      </c>
      <c r="F75" s="41">
        <v>0.25</v>
      </c>
      <c r="G75" s="348">
        <f t="shared" si="0"/>
        <v>914.82666666666671</v>
      </c>
      <c r="H75" s="348">
        <v>25</v>
      </c>
      <c r="I75" s="83">
        <v>0.15</v>
      </c>
      <c r="J75" s="79">
        <f t="shared" si="1"/>
        <v>28.749999999999996</v>
      </c>
      <c r="K75" s="349">
        <f t="shared" si="2"/>
        <v>114.99999999999999</v>
      </c>
      <c r="L75" s="350">
        <f t="shared" si="3"/>
        <v>943.57666666666671</v>
      </c>
      <c r="M75" s="351">
        <f t="shared" si="4"/>
        <v>3774.3066666666668</v>
      </c>
      <c r="N75" s="258"/>
      <c r="O75" s="258"/>
    </row>
    <row r="76" spans="1:15" ht="14.15" customHeight="1" x14ac:dyDescent="0.3">
      <c r="A76" s="341" t="s">
        <v>153</v>
      </c>
      <c r="B76" s="443" t="s">
        <v>154</v>
      </c>
      <c r="C76" s="27" t="s">
        <v>108</v>
      </c>
      <c r="D76" s="1">
        <v>0</v>
      </c>
      <c r="E76" s="36">
        <v>538.9</v>
      </c>
      <c r="F76" s="41">
        <v>0.25</v>
      </c>
      <c r="G76" s="348">
        <f t="shared" si="0"/>
        <v>718.5333333333333</v>
      </c>
      <c r="H76" s="348">
        <v>25</v>
      </c>
      <c r="I76" s="83">
        <v>0.15</v>
      </c>
      <c r="J76" s="79">
        <f t="shared" si="1"/>
        <v>28.749999999999996</v>
      </c>
      <c r="K76" s="349">
        <f t="shared" si="2"/>
        <v>0</v>
      </c>
      <c r="L76" s="350">
        <f t="shared" si="3"/>
        <v>747.2833333333333</v>
      </c>
      <c r="M76" s="351">
        <f t="shared" si="4"/>
        <v>0</v>
      </c>
      <c r="N76" s="258"/>
      <c r="O76" s="258"/>
    </row>
    <row r="77" spans="1:15" ht="14.15" customHeight="1" x14ac:dyDescent="0.3">
      <c r="A77" s="341" t="s">
        <v>155</v>
      </c>
      <c r="B77" s="443" t="s">
        <v>156</v>
      </c>
      <c r="C77" s="29" t="s">
        <v>108</v>
      </c>
      <c r="D77" s="1">
        <v>0</v>
      </c>
      <c r="E77" s="36">
        <v>450</v>
      </c>
      <c r="F77" s="41">
        <v>0.25</v>
      </c>
      <c r="G77" s="348">
        <f t="shared" si="0"/>
        <v>600</v>
      </c>
      <c r="H77" s="348">
        <v>25</v>
      </c>
      <c r="I77" s="83">
        <v>0.15</v>
      </c>
      <c r="J77" s="79">
        <f t="shared" si="1"/>
        <v>28.749999999999996</v>
      </c>
      <c r="K77" s="349">
        <f t="shared" si="2"/>
        <v>0</v>
      </c>
      <c r="L77" s="350">
        <f t="shared" si="3"/>
        <v>628.75</v>
      </c>
      <c r="M77" s="351">
        <f t="shared" si="4"/>
        <v>0</v>
      </c>
      <c r="N77" s="258"/>
      <c r="O77" s="258"/>
    </row>
    <row r="78" spans="1:15" ht="14.15" customHeight="1" x14ac:dyDescent="0.3">
      <c r="A78" s="341" t="s">
        <v>157</v>
      </c>
      <c r="B78" s="443" t="s">
        <v>158</v>
      </c>
      <c r="C78" s="29" t="s">
        <v>108</v>
      </c>
      <c r="D78" s="1">
        <v>6</v>
      </c>
      <c r="E78" s="36">
        <v>380</v>
      </c>
      <c r="F78" s="41">
        <v>0.25</v>
      </c>
      <c r="G78" s="348">
        <f t="shared" si="0"/>
        <v>506.66666666666669</v>
      </c>
      <c r="H78" s="348">
        <v>25</v>
      </c>
      <c r="I78" s="83">
        <v>0.15</v>
      </c>
      <c r="J78" s="79">
        <f t="shared" si="1"/>
        <v>28.749999999999996</v>
      </c>
      <c r="K78" s="349">
        <f t="shared" si="2"/>
        <v>172.49999999999997</v>
      </c>
      <c r="L78" s="350">
        <f t="shared" si="3"/>
        <v>535.41666666666663</v>
      </c>
      <c r="M78" s="351">
        <f t="shared" si="4"/>
        <v>3212.5</v>
      </c>
      <c r="N78" s="258"/>
      <c r="O78" s="258"/>
    </row>
    <row r="79" spans="1:15" ht="14.5" customHeight="1" thickBot="1" x14ac:dyDescent="0.35">
      <c r="A79" s="381" t="s">
        <v>159</v>
      </c>
      <c r="B79" s="446" t="s">
        <v>160</v>
      </c>
      <c r="C79" s="76" t="s">
        <v>108</v>
      </c>
      <c r="D79" s="50">
        <v>0</v>
      </c>
      <c r="E79" s="51">
        <f>215</f>
        <v>215</v>
      </c>
      <c r="F79" s="52">
        <v>0.25</v>
      </c>
      <c r="G79" s="376">
        <f t="shared" si="0"/>
        <v>286.66666666666669</v>
      </c>
      <c r="H79" s="376">
        <v>25</v>
      </c>
      <c r="I79" s="83">
        <v>0.15</v>
      </c>
      <c r="J79" s="79">
        <f t="shared" si="1"/>
        <v>28.749999999999996</v>
      </c>
      <c r="K79" s="349">
        <f t="shared" si="2"/>
        <v>0</v>
      </c>
      <c r="L79" s="350">
        <f t="shared" si="3"/>
        <v>315.41666666666669</v>
      </c>
      <c r="M79" s="378">
        <f t="shared" si="4"/>
        <v>0</v>
      </c>
      <c r="N79" s="258"/>
      <c r="O79" s="258"/>
    </row>
    <row r="80" spans="1:15" ht="14.5" customHeight="1" thickBot="1" x14ac:dyDescent="0.35">
      <c r="A80" s="397"/>
      <c r="B80" s="449"/>
      <c r="C80" s="71"/>
      <c r="D80" s="72"/>
      <c r="E80" s="73"/>
      <c r="F80" s="74"/>
      <c r="G80" s="356"/>
      <c r="H80" s="356"/>
      <c r="I80" s="73"/>
      <c r="J80" s="73"/>
      <c r="K80" s="357"/>
      <c r="L80" s="358"/>
      <c r="M80" s="358"/>
      <c r="N80" s="258"/>
      <c r="O80" s="258"/>
    </row>
    <row r="81" spans="1:15" ht="14.15" customHeight="1" x14ac:dyDescent="0.3">
      <c r="A81" s="359">
        <v>2.12</v>
      </c>
      <c r="B81" s="450"/>
      <c r="C81" s="75"/>
      <c r="D81" s="58" t="s">
        <v>161</v>
      </c>
      <c r="E81" s="56"/>
      <c r="F81" s="57"/>
      <c r="G81" s="361"/>
      <c r="H81" s="361"/>
      <c r="I81" s="56"/>
      <c r="J81" s="56"/>
      <c r="K81" s="362"/>
      <c r="L81" s="363"/>
      <c r="M81" s="363"/>
      <c r="N81" s="258"/>
      <c r="O81" s="258"/>
    </row>
    <row r="82" spans="1:15" ht="14.15" customHeight="1" x14ac:dyDescent="0.3">
      <c r="A82" s="341"/>
      <c r="B82" s="444"/>
      <c r="C82" s="29"/>
      <c r="D82" s="1"/>
      <c r="E82" s="36"/>
      <c r="F82" s="41"/>
      <c r="G82" s="348"/>
      <c r="H82" s="348"/>
      <c r="I82" s="79"/>
      <c r="J82" s="79"/>
      <c r="K82" s="349"/>
      <c r="L82" s="350"/>
      <c r="M82" s="351"/>
      <c r="N82" s="258"/>
      <c r="O82" s="258"/>
    </row>
    <row r="83" spans="1:15" ht="14.15" customHeight="1" x14ac:dyDescent="0.3">
      <c r="A83" s="341" t="s">
        <v>162</v>
      </c>
      <c r="B83" s="443" t="s">
        <v>163</v>
      </c>
      <c r="C83" s="29" t="s">
        <v>108</v>
      </c>
      <c r="D83" s="1">
        <v>0</v>
      </c>
      <c r="E83" s="36">
        <v>109.45</v>
      </c>
      <c r="F83" s="41">
        <v>0.2</v>
      </c>
      <c r="G83" s="348">
        <f>E83/(1-F83)</f>
        <v>136.8125</v>
      </c>
      <c r="H83" s="348">
        <v>50</v>
      </c>
      <c r="I83" s="83">
        <v>0.15</v>
      </c>
      <c r="J83" s="79">
        <f>H83*(1+I83)</f>
        <v>57.499999999999993</v>
      </c>
      <c r="K83" s="349">
        <f>J83*D83</f>
        <v>0</v>
      </c>
      <c r="L83" s="350">
        <f>G83+J83</f>
        <v>194.3125</v>
      </c>
      <c r="M83" s="351">
        <f>D83*L83</f>
        <v>0</v>
      </c>
      <c r="N83" s="258"/>
      <c r="O83" s="258"/>
    </row>
    <row r="84" spans="1:15" ht="14.15" customHeight="1" x14ac:dyDescent="0.3">
      <c r="A84" s="341"/>
      <c r="B84" s="443" t="s">
        <v>164</v>
      </c>
      <c r="C84" s="29" t="s">
        <v>108</v>
      </c>
      <c r="D84" s="1">
        <v>0</v>
      </c>
      <c r="E84" s="36">
        <v>70.599999999999994</v>
      </c>
      <c r="F84" s="41">
        <v>0.2</v>
      </c>
      <c r="G84" s="348">
        <f>E84/(1-F84)</f>
        <v>88.249999999999986</v>
      </c>
      <c r="H84" s="348">
        <v>50</v>
      </c>
      <c r="I84" s="83">
        <v>0.15</v>
      </c>
      <c r="J84" s="79">
        <f>H84*(1+I84)</f>
        <v>57.499999999999993</v>
      </c>
      <c r="K84" s="349">
        <f>J84*D84</f>
        <v>0</v>
      </c>
      <c r="L84" s="350">
        <f>G84+J84</f>
        <v>145.74999999999997</v>
      </c>
      <c r="M84" s="351">
        <f>D84*L84</f>
        <v>0</v>
      </c>
      <c r="N84" s="258"/>
      <c r="O84" s="258"/>
    </row>
    <row r="85" spans="1:15" ht="14.5" customHeight="1" thickBot="1" x14ac:dyDescent="0.35">
      <c r="A85" s="381"/>
      <c r="B85" s="446" t="s">
        <v>165</v>
      </c>
      <c r="C85" s="76" t="s">
        <v>108</v>
      </c>
      <c r="D85" s="50">
        <f>20 + N("5m per cable")</f>
        <v>20</v>
      </c>
      <c r="E85" s="51">
        <v>22.91</v>
      </c>
      <c r="F85" s="52">
        <v>0.2</v>
      </c>
      <c r="G85" s="376">
        <f>E85/(1-F85)</f>
        <v>28.637499999999999</v>
      </c>
      <c r="H85" s="376">
        <v>50</v>
      </c>
      <c r="I85" s="83">
        <v>0.15</v>
      </c>
      <c r="J85" s="79">
        <f>H85*(1+I85)</f>
        <v>57.499999999999993</v>
      </c>
      <c r="K85" s="349">
        <f>J85*D85</f>
        <v>1149.9999999999998</v>
      </c>
      <c r="L85" s="350">
        <f>G85+J85</f>
        <v>86.137499999999989</v>
      </c>
      <c r="M85" s="378">
        <f>D85*L85</f>
        <v>1722.7499999999998</v>
      </c>
      <c r="N85" s="258"/>
      <c r="O85" s="258"/>
    </row>
    <row r="86" spans="1:15" ht="14.5" customHeight="1" thickBot="1" x14ac:dyDescent="0.35">
      <c r="A86" s="397"/>
      <c r="B86" s="449"/>
      <c r="C86" s="71"/>
      <c r="D86" s="72"/>
      <c r="E86" s="73"/>
      <c r="F86" s="74"/>
      <c r="G86" s="356"/>
      <c r="H86" s="356"/>
      <c r="I86" s="73"/>
      <c r="J86" s="73"/>
      <c r="K86" s="357"/>
      <c r="L86" s="358"/>
      <c r="M86" s="358"/>
      <c r="N86" s="258"/>
      <c r="O86" s="258"/>
    </row>
    <row r="87" spans="1:15" ht="14.15" customHeight="1" x14ac:dyDescent="0.3">
      <c r="A87" s="359">
        <v>2.13</v>
      </c>
      <c r="B87" s="450"/>
      <c r="C87" s="75"/>
      <c r="D87" s="58" t="s">
        <v>166</v>
      </c>
      <c r="E87" s="56"/>
      <c r="F87" s="57"/>
      <c r="G87" s="361"/>
      <c r="H87" s="361"/>
      <c r="I87" s="56"/>
      <c r="J87" s="56"/>
      <c r="K87" s="362"/>
      <c r="L87" s="363"/>
      <c r="M87" s="363"/>
      <c r="N87" s="258"/>
      <c r="O87" s="258"/>
    </row>
    <row r="88" spans="1:15" ht="14.15" customHeight="1" x14ac:dyDescent="0.3">
      <c r="A88" s="341"/>
      <c r="B88" s="444"/>
      <c r="C88" s="29"/>
      <c r="D88" s="1"/>
      <c r="E88" s="36"/>
      <c r="F88" s="41"/>
      <c r="G88" s="348"/>
      <c r="H88" s="348"/>
      <c r="I88" s="79"/>
      <c r="J88" s="79"/>
      <c r="K88" s="349"/>
      <c r="L88" s="350"/>
      <c r="M88" s="351"/>
      <c r="N88" s="258"/>
      <c r="O88" s="258"/>
    </row>
    <row r="89" spans="1:15" ht="14.15" customHeight="1" x14ac:dyDescent="0.3">
      <c r="A89" s="341" t="s">
        <v>167</v>
      </c>
      <c r="B89" s="443" t="s">
        <v>168</v>
      </c>
      <c r="C89" s="29" t="s">
        <v>108</v>
      </c>
      <c r="D89" s="1">
        <v>0</v>
      </c>
      <c r="E89" s="36">
        <v>25</v>
      </c>
      <c r="F89" s="41">
        <v>0.2</v>
      </c>
      <c r="G89" s="348">
        <f>E89/(1-F89)</f>
        <v>31.25</v>
      </c>
      <c r="H89" s="348"/>
      <c r="I89" s="83">
        <v>0.15</v>
      </c>
      <c r="J89" s="79">
        <f>H89*(1+I89)</f>
        <v>0</v>
      </c>
      <c r="K89" s="349">
        <f>J89*D89</f>
        <v>0</v>
      </c>
      <c r="L89" s="350">
        <f>G89+J89</f>
        <v>31.25</v>
      </c>
      <c r="M89" s="351">
        <f>D89*L89</f>
        <v>0</v>
      </c>
      <c r="N89" s="258"/>
      <c r="O89" s="258"/>
    </row>
    <row r="90" spans="1:15" ht="14.15" customHeight="1" x14ac:dyDescent="0.3">
      <c r="A90" s="341" t="s">
        <v>169</v>
      </c>
      <c r="B90" s="443" t="s">
        <v>170</v>
      </c>
      <c r="C90" s="29" t="s">
        <v>108</v>
      </c>
      <c r="D90" s="1">
        <v>0</v>
      </c>
      <c r="E90" s="36">
        <v>33</v>
      </c>
      <c r="F90" s="41">
        <v>0.2</v>
      </c>
      <c r="G90" s="348">
        <f>E90/(1-F90)</f>
        <v>41.25</v>
      </c>
      <c r="H90" s="348"/>
      <c r="I90" s="83">
        <v>0.15</v>
      </c>
      <c r="J90" s="79">
        <f>H90*(1+I90)</f>
        <v>0</v>
      </c>
      <c r="K90" s="349">
        <f>J90*D90</f>
        <v>0</v>
      </c>
      <c r="L90" s="350">
        <f>G90+J90</f>
        <v>41.25</v>
      </c>
      <c r="M90" s="351">
        <f>D90*L90</f>
        <v>0</v>
      </c>
      <c r="N90" s="258"/>
      <c r="O90" s="258"/>
    </row>
    <row r="91" spans="1:15" ht="14.5" customHeight="1" thickBot="1" x14ac:dyDescent="0.35">
      <c r="A91" s="341" t="s">
        <v>171</v>
      </c>
      <c r="B91" s="451" t="s">
        <v>172</v>
      </c>
      <c r="C91" s="29" t="s">
        <v>108</v>
      </c>
      <c r="D91" s="1">
        <v>0</v>
      </c>
      <c r="E91" s="36">
        <v>37</v>
      </c>
      <c r="F91" s="41">
        <v>0.2</v>
      </c>
      <c r="G91" s="348">
        <f>E91/(1-F91)</f>
        <v>46.25</v>
      </c>
      <c r="H91" s="348"/>
      <c r="I91" s="83">
        <v>0.15</v>
      </c>
      <c r="J91" s="79">
        <f>H91*(1+I91)</f>
        <v>0</v>
      </c>
      <c r="K91" s="349">
        <f>J91*D91</f>
        <v>0</v>
      </c>
      <c r="L91" s="350">
        <f>G91+J91</f>
        <v>46.25</v>
      </c>
      <c r="M91" s="351">
        <f>D91*L91</f>
        <v>0</v>
      </c>
      <c r="N91" s="258"/>
      <c r="O91" s="258"/>
    </row>
    <row r="92" spans="1:15" ht="14.5" customHeight="1" thickBot="1" x14ac:dyDescent="0.35">
      <c r="A92" s="397"/>
      <c r="B92" s="449"/>
      <c r="C92" s="71"/>
      <c r="D92" s="72"/>
      <c r="E92" s="73"/>
      <c r="F92" s="74"/>
      <c r="G92" s="356"/>
      <c r="H92" s="356"/>
      <c r="I92" s="73"/>
      <c r="J92" s="73"/>
      <c r="K92" s="357"/>
      <c r="L92" s="358"/>
      <c r="M92" s="358"/>
      <c r="N92" s="258"/>
      <c r="O92" s="258"/>
    </row>
    <row r="93" spans="1:15" s="297" customFormat="1" ht="14.15" customHeight="1" x14ac:dyDescent="0.3">
      <c r="A93" s="402">
        <v>2.14</v>
      </c>
      <c r="B93" s="452"/>
      <c r="C93" s="78"/>
      <c r="D93" s="65" t="s">
        <v>173</v>
      </c>
      <c r="E93" s="53"/>
      <c r="F93" s="54"/>
      <c r="G93" s="391"/>
      <c r="H93" s="391"/>
      <c r="I93" s="53"/>
      <c r="J93" s="53"/>
      <c r="K93" s="392"/>
      <c r="L93" s="393"/>
      <c r="M93" s="393"/>
      <c r="N93" s="258"/>
      <c r="O93" s="258"/>
    </row>
    <row r="94" spans="1:15" s="297" customFormat="1" ht="14.15" customHeight="1" x14ac:dyDescent="0.3">
      <c r="A94" s="341"/>
      <c r="B94" s="444"/>
      <c r="C94" s="29"/>
      <c r="D94" s="1"/>
      <c r="E94" s="36"/>
      <c r="F94" s="41"/>
      <c r="G94" s="348"/>
      <c r="H94" s="348"/>
      <c r="I94" s="79"/>
      <c r="J94" s="79"/>
      <c r="K94" s="349"/>
      <c r="L94" s="350"/>
      <c r="M94" s="351"/>
      <c r="N94" s="258"/>
      <c r="O94" s="258"/>
    </row>
    <row r="95" spans="1:15" s="297" customFormat="1" ht="28" customHeight="1" x14ac:dyDescent="0.3">
      <c r="A95" s="341"/>
      <c r="B95" s="443" t="s">
        <v>174</v>
      </c>
      <c r="C95" s="29"/>
      <c r="D95" s="1"/>
      <c r="E95" s="36"/>
      <c r="F95" s="41"/>
      <c r="G95" s="348"/>
      <c r="H95" s="348"/>
      <c r="I95" s="79"/>
      <c r="J95" s="79"/>
      <c r="K95" s="349"/>
      <c r="L95" s="350"/>
      <c r="M95" s="351"/>
      <c r="N95" s="258"/>
      <c r="O95" s="258"/>
    </row>
    <row r="96" spans="1:15" s="297" customFormat="1" ht="14.15" customHeight="1" x14ac:dyDescent="0.3">
      <c r="A96" s="384"/>
      <c r="B96" s="443"/>
      <c r="C96" s="29"/>
      <c r="D96" s="1"/>
      <c r="E96" s="36"/>
      <c r="F96" s="41"/>
      <c r="G96" s="348"/>
      <c r="H96" s="348"/>
      <c r="I96" s="79"/>
      <c r="J96" s="79"/>
      <c r="K96" s="349"/>
      <c r="L96" s="350"/>
      <c r="M96" s="351"/>
      <c r="N96" s="258"/>
      <c r="O96" s="258"/>
    </row>
    <row r="97" spans="1:15" s="297" customFormat="1" ht="14.15" customHeight="1" x14ac:dyDescent="0.3">
      <c r="A97" s="341" t="s">
        <v>175</v>
      </c>
      <c r="B97" s="443" t="s">
        <v>150</v>
      </c>
      <c r="C97" s="29" t="s">
        <v>85</v>
      </c>
      <c r="D97" s="1">
        <v>0</v>
      </c>
      <c r="E97" s="36">
        <f>752.54*1.1</f>
        <v>827.79399999999998</v>
      </c>
      <c r="F97" s="41">
        <v>0.2</v>
      </c>
      <c r="G97" s="348">
        <f t="shared" ref="G97:G107" si="5">E97/(1-F97)</f>
        <v>1034.7424999999998</v>
      </c>
      <c r="H97" s="348">
        <f>(250+100)*1.5</f>
        <v>525</v>
      </c>
      <c r="I97" s="83">
        <v>0.15</v>
      </c>
      <c r="J97" s="79">
        <f t="shared" ref="J97:J107" si="6">H97*(1+I97)</f>
        <v>603.75</v>
      </c>
      <c r="K97" s="349">
        <f t="shared" ref="K97:K107" si="7">J97*D97</f>
        <v>0</v>
      </c>
      <c r="L97" s="350">
        <f t="shared" ref="L97:L107" si="8">G97+J97</f>
        <v>1638.4924999999998</v>
      </c>
      <c r="M97" s="351">
        <f t="shared" ref="M97:M107" si="9">D97*L97</f>
        <v>0</v>
      </c>
      <c r="N97" s="258"/>
      <c r="O97" s="258"/>
    </row>
    <row r="98" spans="1:15" s="297" customFormat="1" ht="14.15" customHeight="1" x14ac:dyDescent="0.3">
      <c r="A98" s="341" t="s">
        <v>176</v>
      </c>
      <c r="B98" s="443" t="s">
        <v>177</v>
      </c>
      <c r="C98" s="29" t="s">
        <v>85</v>
      </c>
      <c r="D98" s="1">
        <v>0</v>
      </c>
      <c r="E98" s="36">
        <f>350*1.1</f>
        <v>385.00000000000006</v>
      </c>
      <c r="F98" s="41">
        <v>0.2</v>
      </c>
      <c r="G98" s="348">
        <f t="shared" si="5"/>
        <v>481.25000000000006</v>
      </c>
      <c r="H98" s="348">
        <f>(250+100)*1.5</f>
        <v>525</v>
      </c>
      <c r="I98" s="83">
        <v>0.15</v>
      </c>
      <c r="J98" s="79">
        <f t="shared" si="6"/>
        <v>603.75</v>
      </c>
      <c r="K98" s="349">
        <f t="shared" si="7"/>
        <v>0</v>
      </c>
      <c r="L98" s="350">
        <f t="shared" si="8"/>
        <v>1085</v>
      </c>
      <c r="M98" s="351">
        <f t="shared" si="9"/>
        <v>0</v>
      </c>
      <c r="N98" s="258"/>
      <c r="O98" s="258"/>
    </row>
    <row r="99" spans="1:15" s="297" customFormat="1" ht="14.15" customHeight="1" x14ac:dyDescent="0.3">
      <c r="A99" s="341" t="s">
        <v>178</v>
      </c>
      <c r="B99" s="443" t="s">
        <v>152</v>
      </c>
      <c r="C99" s="29" t="s">
        <v>85</v>
      </c>
      <c r="D99" s="1">
        <v>4</v>
      </c>
      <c r="E99" s="36">
        <v>550</v>
      </c>
      <c r="F99" s="41">
        <v>0.2</v>
      </c>
      <c r="G99" s="348">
        <f t="shared" si="5"/>
        <v>687.5</v>
      </c>
      <c r="H99" s="348">
        <f>(250+100)*1.5</f>
        <v>525</v>
      </c>
      <c r="I99" s="83">
        <v>0.15</v>
      </c>
      <c r="J99" s="79">
        <f t="shared" si="6"/>
        <v>603.75</v>
      </c>
      <c r="K99" s="349">
        <f t="shared" si="7"/>
        <v>2415</v>
      </c>
      <c r="L99" s="350">
        <f t="shared" si="8"/>
        <v>1291.25</v>
      </c>
      <c r="M99" s="351">
        <f t="shared" si="9"/>
        <v>5165</v>
      </c>
      <c r="N99" s="258"/>
      <c r="O99" s="258"/>
    </row>
    <row r="100" spans="1:15" s="297" customFormat="1" ht="14.15" customHeight="1" x14ac:dyDescent="0.3">
      <c r="A100" s="341" t="s">
        <v>179</v>
      </c>
      <c r="B100" s="443" t="s">
        <v>154</v>
      </c>
      <c r="C100" s="29" t="s">
        <v>85</v>
      </c>
      <c r="D100" s="1">
        <v>0</v>
      </c>
      <c r="E100" s="36">
        <v>350</v>
      </c>
      <c r="F100" s="41">
        <v>0.2</v>
      </c>
      <c r="G100" s="348">
        <f t="shared" si="5"/>
        <v>437.5</v>
      </c>
      <c r="H100" s="348">
        <v>525</v>
      </c>
      <c r="I100" s="83">
        <v>0.15</v>
      </c>
      <c r="J100" s="79">
        <f t="shared" si="6"/>
        <v>603.75</v>
      </c>
      <c r="K100" s="349">
        <f t="shared" si="7"/>
        <v>0</v>
      </c>
      <c r="L100" s="350">
        <f t="shared" si="8"/>
        <v>1041.25</v>
      </c>
      <c r="M100" s="351">
        <f t="shared" si="9"/>
        <v>0</v>
      </c>
      <c r="N100" s="258"/>
      <c r="O100" s="258"/>
    </row>
    <row r="101" spans="1:15" s="297" customFormat="1" ht="14.5" customHeight="1" x14ac:dyDescent="0.3">
      <c r="A101" s="341" t="s">
        <v>180</v>
      </c>
      <c r="B101" s="443" t="s">
        <v>156</v>
      </c>
      <c r="C101" s="29" t="s">
        <v>85</v>
      </c>
      <c r="D101" s="1">
        <v>0</v>
      </c>
      <c r="E101" s="36"/>
      <c r="F101" s="41"/>
      <c r="G101" s="348">
        <f t="shared" si="5"/>
        <v>0</v>
      </c>
      <c r="H101" s="348">
        <v>525</v>
      </c>
      <c r="I101" s="83">
        <v>0.15</v>
      </c>
      <c r="J101" s="79">
        <f t="shared" si="6"/>
        <v>603.75</v>
      </c>
      <c r="K101" s="349">
        <f t="shared" si="7"/>
        <v>0</v>
      </c>
      <c r="L101" s="350">
        <f t="shared" si="8"/>
        <v>603.75</v>
      </c>
      <c r="M101" s="351">
        <f t="shared" si="9"/>
        <v>0</v>
      </c>
      <c r="N101" s="258"/>
      <c r="O101" s="258"/>
    </row>
    <row r="102" spans="1:15" s="297" customFormat="1" ht="14.15" customHeight="1" x14ac:dyDescent="0.3">
      <c r="A102" s="341" t="s">
        <v>181</v>
      </c>
      <c r="B102" s="443" t="s">
        <v>158</v>
      </c>
      <c r="C102" s="29" t="s">
        <v>85</v>
      </c>
      <c r="D102" s="1">
        <v>0</v>
      </c>
      <c r="E102" s="36">
        <v>350</v>
      </c>
      <c r="F102" s="41">
        <v>0.2</v>
      </c>
      <c r="G102" s="348">
        <f t="shared" si="5"/>
        <v>437.5</v>
      </c>
      <c r="H102" s="348">
        <v>525</v>
      </c>
      <c r="I102" s="83">
        <v>0.15</v>
      </c>
      <c r="J102" s="79">
        <f t="shared" si="6"/>
        <v>603.75</v>
      </c>
      <c r="K102" s="349">
        <f t="shared" si="7"/>
        <v>0</v>
      </c>
      <c r="L102" s="350">
        <f t="shared" si="8"/>
        <v>1041.25</v>
      </c>
      <c r="M102" s="351">
        <f t="shared" si="9"/>
        <v>0</v>
      </c>
      <c r="N102" s="258"/>
      <c r="O102" s="258"/>
    </row>
    <row r="103" spans="1:15" s="297" customFormat="1" ht="14.15" customHeight="1" x14ac:dyDescent="0.3">
      <c r="A103" s="341" t="s">
        <v>182</v>
      </c>
      <c r="B103" s="443" t="s">
        <v>160</v>
      </c>
      <c r="C103" s="29" t="s">
        <v>85</v>
      </c>
      <c r="D103" s="1">
        <v>0</v>
      </c>
      <c r="E103" s="36">
        <v>350</v>
      </c>
      <c r="F103" s="41">
        <v>0.2</v>
      </c>
      <c r="G103" s="348">
        <f t="shared" si="5"/>
        <v>437.5</v>
      </c>
      <c r="H103" s="348">
        <v>525</v>
      </c>
      <c r="I103" s="83">
        <v>0.15</v>
      </c>
      <c r="J103" s="79">
        <f t="shared" si="6"/>
        <v>603.75</v>
      </c>
      <c r="K103" s="349">
        <f t="shared" si="7"/>
        <v>0</v>
      </c>
      <c r="L103" s="350">
        <f t="shared" si="8"/>
        <v>1041.25</v>
      </c>
      <c r="M103" s="351">
        <f t="shared" si="9"/>
        <v>0</v>
      </c>
      <c r="N103" s="258"/>
      <c r="O103" s="258"/>
    </row>
    <row r="104" spans="1:15" s="297" customFormat="1" ht="14.15" customHeight="1" x14ac:dyDescent="0.3">
      <c r="A104" s="341" t="s">
        <v>183</v>
      </c>
      <c r="B104" s="443" t="s">
        <v>184</v>
      </c>
      <c r="C104" s="29" t="s">
        <v>85</v>
      </c>
      <c r="D104" s="1">
        <v>0</v>
      </c>
      <c r="E104" s="36"/>
      <c r="F104" s="41">
        <v>0.2</v>
      </c>
      <c r="G104" s="348">
        <f t="shared" si="5"/>
        <v>0</v>
      </c>
      <c r="H104" s="348">
        <v>525</v>
      </c>
      <c r="I104" s="83">
        <v>0.15</v>
      </c>
      <c r="J104" s="79">
        <f t="shared" si="6"/>
        <v>603.75</v>
      </c>
      <c r="K104" s="349">
        <f t="shared" si="7"/>
        <v>0</v>
      </c>
      <c r="L104" s="350">
        <f t="shared" si="8"/>
        <v>603.75</v>
      </c>
      <c r="M104" s="351">
        <f t="shared" si="9"/>
        <v>0</v>
      </c>
      <c r="N104" s="258"/>
      <c r="O104" s="258"/>
    </row>
    <row r="105" spans="1:15" s="297" customFormat="1" ht="14.15" customHeight="1" x14ac:dyDescent="0.3">
      <c r="A105" s="341" t="s">
        <v>185</v>
      </c>
      <c r="B105" s="443" t="s">
        <v>186</v>
      </c>
      <c r="C105" s="29" t="s">
        <v>85</v>
      </c>
      <c r="D105" s="1">
        <v>0</v>
      </c>
      <c r="E105" s="36">
        <v>250</v>
      </c>
      <c r="F105" s="41">
        <v>0.2</v>
      </c>
      <c r="G105" s="348">
        <f t="shared" si="5"/>
        <v>312.5</v>
      </c>
      <c r="H105" s="348">
        <v>525</v>
      </c>
      <c r="I105" s="83">
        <v>0.15</v>
      </c>
      <c r="J105" s="79">
        <f t="shared" si="6"/>
        <v>603.75</v>
      </c>
      <c r="K105" s="349">
        <f t="shared" si="7"/>
        <v>0</v>
      </c>
      <c r="L105" s="350">
        <f t="shared" si="8"/>
        <v>916.25</v>
      </c>
      <c r="M105" s="351">
        <f t="shared" si="9"/>
        <v>0</v>
      </c>
      <c r="N105" s="258"/>
      <c r="O105" s="258"/>
    </row>
    <row r="106" spans="1:15" s="297" customFormat="1" ht="14.15" customHeight="1" x14ac:dyDescent="0.3">
      <c r="A106" s="341" t="s">
        <v>187</v>
      </c>
      <c r="B106" s="443" t="s">
        <v>188</v>
      </c>
      <c r="C106" s="29" t="s">
        <v>85</v>
      </c>
      <c r="D106" s="1">
        <v>4</v>
      </c>
      <c r="E106" s="36">
        <v>500</v>
      </c>
      <c r="F106" s="41">
        <v>0.2</v>
      </c>
      <c r="G106" s="348">
        <f t="shared" si="5"/>
        <v>625</v>
      </c>
      <c r="H106" s="348">
        <v>525</v>
      </c>
      <c r="I106" s="83">
        <v>0.15</v>
      </c>
      <c r="J106" s="79">
        <f t="shared" si="6"/>
        <v>603.75</v>
      </c>
      <c r="K106" s="349">
        <f t="shared" si="7"/>
        <v>2415</v>
      </c>
      <c r="L106" s="350">
        <f t="shared" si="8"/>
        <v>1228.75</v>
      </c>
      <c r="M106" s="351">
        <f t="shared" si="9"/>
        <v>4915</v>
      </c>
      <c r="N106" s="258"/>
      <c r="O106" s="258"/>
    </row>
    <row r="107" spans="1:15" s="297" customFormat="1" ht="14.5" customHeight="1" thickBot="1" x14ac:dyDescent="0.35">
      <c r="A107" s="381" t="s">
        <v>189</v>
      </c>
      <c r="B107" s="446" t="s">
        <v>190</v>
      </c>
      <c r="C107" s="76" t="s">
        <v>85</v>
      </c>
      <c r="D107" s="50">
        <v>0</v>
      </c>
      <c r="E107" s="51">
        <v>500</v>
      </c>
      <c r="F107" s="52">
        <v>0.2</v>
      </c>
      <c r="G107" s="376">
        <f t="shared" si="5"/>
        <v>625</v>
      </c>
      <c r="H107" s="376">
        <v>525</v>
      </c>
      <c r="I107" s="84">
        <v>0.15</v>
      </c>
      <c r="J107" s="80">
        <f t="shared" si="6"/>
        <v>603.75</v>
      </c>
      <c r="K107" s="382">
        <f t="shared" si="7"/>
        <v>0</v>
      </c>
      <c r="L107" s="350">
        <f t="shared" si="8"/>
        <v>1228.75</v>
      </c>
      <c r="M107" s="378">
        <f t="shared" si="9"/>
        <v>0</v>
      </c>
      <c r="N107" s="258"/>
      <c r="O107" s="258"/>
    </row>
    <row r="108" spans="1:15" s="297" customFormat="1" ht="14.5" customHeight="1" thickBot="1" x14ac:dyDescent="0.35">
      <c r="A108" s="404"/>
      <c r="B108" s="453"/>
      <c r="C108" s="29"/>
      <c r="D108" s="1"/>
      <c r="E108" s="36"/>
      <c r="F108" s="41"/>
      <c r="G108" s="348"/>
      <c r="H108" s="348"/>
      <c r="I108" s="79"/>
      <c r="J108" s="79"/>
      <c r="K108" s="406"/>
      <c r="L108" s="350"/>
      <c r="M108" s="351"/>
      <c r="N108" s="258"/>
      <c r="O108" s="258"/>
    </row>
    <row r="109" spans="1:15" ht="14.15" customHeight="1" x14ac:dyDescent="0.3">
      <c r="A109" s="359">
        <v>2.15</v>
      </c>
      <c r="B109" s="450"/>
      <c r="C109" s="75"/>
      <c r="D109" s="58" t="s">
        <v>191</v>
      </c>
      <c r="E109" s="56"/>
      <c r="F109" s="57"/>
      <c r="G109" s="361"/>
      <c r="H109" s="361"/>
      <c r="I109" s="56"/>
      <c r="J109" s="56"/>
      <c r="K109" s="362"/>
      <c r="L109" s="363"/>
      <c r="M109" s="363"/>
      <c r="N109" s="258"/>
      <c r="O109" s="258"/>
    </row>
    <row r="110" spans="1:15" ht="14.15" customHeight="1" x14ac:dyDescent="0.3">
      <c r="A110" s="341"/>
      <c r="B110" s="444"/>
      <c r="C110" s="29"/>
      <c r="D110" s="1"/>
      <c r="E110" s="36"/>
      <c r="F110" s="41"/>
      <c r="G110" s="348"/>
      <c r="H110" s="348"/>
      <c r="I110" s="79"/>
      <c r="J110" s="79"/>
      <c r="K110" s="349"/>
      <c r="L110" s="350"/>
      <c r="M110" s="351"/>
      <c r="N110" s="258"/>
      <c r="O110" s="258"/>
    </row>
    <row r="111" spans="1:15" ht="28" customHeight="1" x14ac:dyDescent="0.3">
      <c r="A111" s="341"/>
      <c r="B111" s="443" t="s">
        <v>192</v>
      </c>
      <c r="C111" s="29"/>
      <c r="D111" s="1"/>
      <c r="E111" s="36"/>
      <c r="F111" s="41"/>
      <c r="G111" s="348"/>
      <c r="H111" s="348"/>
      <c r="I111" s="79"/>
      <c r="J111" s="79"/>
      <c r="K111" s="349"/>
      <c r="L111" s="350"/>
      <c r="M111" s="351"/>
      <c r="N111" s="258"/>
      <c r="O111" s="258"/>
    </row>
    <row r="112" spans="1:15" ht="14.15" customHeight="1" x14ac:dyDescent="0.3">
      <c r="A112" s="384"/>
      <c r="B112" s="443"/>
      <c r="C112" s="29"/>
      <c r="D112" s="1"/>
      <c r="E112" s="36"/>
      <c r="F112" s="41"/>
      <c r="G112" s="348"/>
      <c r="H112" s="348"/>
      <c r="I112" s="79"/>
      <c r="J112" s="79"/>
      <c r="K112" s="349"/>
      <c r="L112" s="350"/>
      <c r="M112" s="351"/>
      <c r="N112" s="258"/>
      <c r="O112" s="258"/>
    </row>
    <row r="113" spans="1:15" ht="14.15" customHeight="1" x14ac:dyDescent="0.3">
      <c r="A113" s="341" t="s">
        <v>193</v>
      </c>
      <c r="B113" s="443" t="s">
        <v>194</v>
      </c>
      <c r="C113" s="29" t="s">
        <v>108</v>
      </c>
      <c r="D113" s="1">
        <v>0</v>
      </c>
      <c r="E113" s="36">
        <f>132*(15+10+10)</f>
        <v>4620</v>
      </c>
      <c r="F113" s="41">
        <v>0.2</v>
      </c>
      <c r="G113" s="348">
        <f>E113/(1-F113)</f>
        <v>5775</v>
      </c>
      <c r="H113" s="348">
        <f>9*(15+10+10)</f>
        <v>315</v>
      </c>
      <c r="I113" s="83">
        <v>0.15</v>
      </c>
      <c r="J113" s="79">
        <f>H113*(1+I113)</f>
        <v>362.25</v>
      </c>
      <c r="K113" s="349">
        <f>J113*D113</f>
        <v>0</v>
      </c>
      <c r="L113" s="350">
        <f>G113+J113</f>
        <v>6137.25</v>
      </c>
      <c r="M113" s="351">
        <f>D113*L113</f>
        <v>0</v>
      </c>
      <c r="N113" s="258"/>
      <c r="O113" s="258"/>
    </row>
    <row r="114" spans="1:15" ht="14.5" customHeight="1" thickBot="1" x14ac:dyDescent="0.35">
      <c r="A114" s="381" t="s">
        <v>195</v>
      </c>
      <c r="B114" s="446" t="s">
        <v>196</v>
      </c>
      <c r="C114" s="76" t="s">
        <v>108</v>
      </c>
      <c r="D114" s="50">
        <v>15</v>
      </c>
      <c r="E114" s="51">
        <f>30</f>
        <v>30</v>
      </c>
      <c r="F114" s="52">
        <v>0.2</v>
      </c>
      <c r="G114" s="376">
        <f>E114/(1-F114)</f>
        <v>37.5</v>
      </c>
      <c r="H114" s="376">
        <f>15</f>
        <v>15</v>
      </c>
      <c r="I114" s="84">
        <v>0.15</v>
      </c>
      <c r="J114" s="80">
        <f>H114*(1+I114)</f>
        <v>17.25</v>
      </c>
      <c r="K114" s="382">
        <f>J114*D114</f>
        <v>258.75</v>
      </c>
      <c r="L114" s="407">
        <f>G114+J114</f>
        <v>54.75</v>
      </c>
      <c r="M114" s="378">
        <f>D114*L114</f>
        <v>821.25</v>
      </c>
      <c r="N114" s="258"/>
      <c r="O114" s="258"/>
    </row>
    <row r="115" spans="1:15" ht="14.5" customHeight="1" thickBot="1" x14ac:dyDescent="0.35">
      <c r="A115" s="258"/>
      <c r="B115" s="453"/>
      <c r="C115" s="29"/>
      <c r="D115" s="1"/>
      <c r="E115" s="36"/>
      <c r="F115" s="41"/>
      <c r="G115" s="348"/>
      <c r="H115" s="348"/>
      <c r="I115" s="79"/>
      <c r="J115" s="79"/>
      <c r="K115" s="406"/>
      <c r="L115" s="350"/>
      <c r="M115" s="351"/>
      <c r="N115" s="258"/>
      <c r="O115" s="258"/>
    </row>
    <row r="116" spans="1:15" ht="14.15" customHeight="1" x14ac:dyDescent="0.3">
      <c r="A116" s="359">
        <v>2.16</v>
      </c>
      <c r="B116" s="450"/>
      <c r="C116" s="75"/>
      <c r="D116" s="58" t="s">
        <v>197</v>
      </c>
      <c r="E116" s="56"/>
      <c r="F116" s="57"/>
      <c r="G116" s="361"/>
      <c r="H116" s="361"/>
      <c r="I116" s="56"/>
      <c r="J116" s="56"/>
      <c r="K116" s="362"/>
      <c r="L116" s="363"/>
      <c r="M116" s="363"/>
      <c r="N116" s="258"/>
      <c r="O116" s="258"/>
    </row>
    <row r="117" spans="1:15" ht="14.15" customHeight="1" x14ac:dyDescent="0.3">
      <c r="A117" s="341"/>
      <c r="B117" s="444"/>
      <c r="C117" s="29"/>
      <c r="D117" s="1"/>
      <c r="E117" s="36"/>
      <c r="F117" s="41"/>
      <c r="G117" s="348"/>
      <c r="H117" s="348"/>
      <c r="I117" s="79"/>
      <c r="J117" s="79"/>
      <c r="K117" s="349"/>
      <c r="L117" s="350"/>
      <c r="M117" s="351"/>
      <c r="N117" s="258"/>
      <c r="O117" s="258"/>
    </row>
    <row r="118" spans="1:15" ht="28.5" customHeight="1" thickBot="1" x14ac:dyDescent="0.35">
      <c r="A118" s="381" t="s">
        <v>198</v>
      </c>
      <c r="B118" s="446" t="s">
        <v>199</v>
      </c>
      <c r="C118" s="86" t="s">
        <v>108</v>
      </c>
      <c r="D118" s="50">
        <v>10</v>
      </c>
      <c r="E118" s="51">
        <v>5</v>
      </c>
      <c r="F118" s="52">
        <v>0.2</v>
      </c>
      <c r="G118" s="376">
        <f>E118/(1-F118)</f>
        <v>6.25</v>
      </c>
      <c r="H118" s="376">
        <f>(100*3)</f>
        <v>300</v>
      </c>
      <c r="I118" s="84">
        <v>0.15</v>
      </c>
      <c r="J118" s="80">
        <f>H118*(1+I118)</f>
        <v>345</v>
      </c>
      <c r="K118" s="382">
        <f>J118*D118</f>
        <v>3450</v>
      </c>
      <c r="L118" s="407">
        <f>G118+J118</f>
        <v>351.25</v>
      </c>
      <c r="M118" s="378">
        <f>D118*L118</f>
        <v>3512.5</v>
      </c>
      <c r="N118" s="258"/>
      <c r="O118" s="258"/>
    </row>
    <row r="119" spans="1:15" ht="13.4" customHeight="1" thickBot="1" x14ac:dyDescent="0.35">
      <c r="A119" s="404"/>
      <c r="B119" s="453"/>
      <c r="C119" s="29"/>
      <c r="D119" s="1"/>
      <c r="E119" s="36"/>
      <c r="F119" s="41"/>
      <c r="G119" s="348"/>
      <c r="H119" s="348"/>
      <c r="I119" s="79"/>
      <c r="J119" s="79"/>
      <c r="K119" s="406"/>
      <c r="L119" s="350"/>
      <c r="M119" s="351"/>
      <c r="N119" s="258"/>
      <c r="O119" s="258"/>
    </row>
    <row r="120" spans="1:15" ht="14.15" customHeight="1" x14ac:dyDescent="0.3">
      <c r="A120" s="359">
        <v>2.17</v>
      </c>
      <c r="B120" s="450"/>
      <c r="C120" s="75"/>
      <c r="D120" s="58" t="s">
        <v>200</v>
      </c>
      <c r="E120" s="56"/>
      <c r="F120" s="57"/>
      <c r="G120" s="361"/>
      <c r="H120" s="361"/>
      <c r="I120" s="56"/>
      <c r="J120" s="56"/>
      <c r="K120" s="362"/>
      <c r="L120" s="363"/>
      <c r="M120" s="363"/>
      <c r="N120" s="258"/>
      <c r="O120" s="258"/>
    </row>
    <row r="121" spans="1:15" ht="14.15" customHeight="1" x14ac:dyDescent="0.3">
      <c r="A121" s="341"/>
      <c r="B121" s="454"/>
      <c r="C121" s="29"/>
      <c r="D121" s="1"/>
      <c r="E121" s="36"/>
      <c r="F121" s="41"/>
      <c r="G121" s="348"/>
      <c r="H121" s="348"/>
      <c r="I121" s="79"/>
      <c r="J121" s="79"/>
      <c r="K121" s="349"/>
      <c r="L121" s="350"/>
      <c r="M121" s="351"/>
      <c r="N121" s="258"/>
      <c r="O121" s="258"/>
    </row>
    <row r="122" spans="1:15" ht="14.15" customHeight="1" x14ac:dyDescent="0.3">
      <c r="A122" s="341"/>
      <c r="B122" s="443" t="s">
        <v>201</v>
      </c>
      <c r="C122" s="29"/>
      <c r="D122" s="1"/>
      <c r="E122" s="36"/>
      <c r="F122" s="41"/>
      <c r="G122" s="348"/>
      <c r="H122" s="348"/>
      <c r="I122" s="79"/>
      <c r="J122" s="79"/>
      <c r="K122" s="349"/>
      <c r="L122" s="350"/>
      <c r="M122" s="351"/>
      <c r="N122" s="258"/>
      <c r="O122" s="258"/>
    </row>
    <row r="123" spans="1:15" ht="14.15" customHeight="1" x14ac:dyDescent="0.3">
      <c r="A123" s="384"/>
      <c r="B123" s="455"/>
      <c r="C123" s="29"/>
      <c r="D123" s="1"/>
      <c r="E123" s="36"/>
      <c r="F123" s="41"/>
      <c r="G123" s="348"/>
      <c r="H123" s="348"/>
      <c r="I123" s="79"/>
      <c r="J123" s="79"/>
      <c r="K123" s="349"/>
      <c r="L123" s="350"/>
      <c r="M123" s="351"/>
      <c r="N123" s="258"/>
      <c r="O123" s="258"/>
    </row>
    <row r="124" spans="1:15" ht="28" customHeight="1" x14ac:dyDescent="0.3">
      <c r="A124" s="341" t="s">
        <v>202</v>
      </c>
      <c r="B124" s="443" t="s">
        <v>203</v>
      </c>
      <c r="C124" s="87" t="s">
        <v>42</v>
      </c>
      <c r="D124" s="1">
        <v>0</v>
      </c>
      <c r="E124" s="36"/>
      <c r="F124" s="41">
        <v>0.2</v>
      </c>
      <c r="G124" s="348">
        <f>E124/(1-F124)</f>
        <v>0</v>
      </c>
      <c r="H124" s="348">
        <f>140*(20+60+200)</f>
        <v>39200</v>
      </c>
      <c r="I124" s="83">
        <v>0.15</v>
      </c>
      <c r="J124" s="79">
        <f>H124*(1+I124)</f>
        <v>45080</v>
      </c>
      <c r="K124" s="349">
        <f>J124*D124</f>
        <v>0</v>
      </c>
      <c r="L124" s="350">
        <f>G124+J124</f>
        <v>45080</v>
      </c>
      <c r="M124" s="351">
        <f>D124*L124</f>
        <v>0</v>
      </c>
      <c r="N124" s="258"/>
      <c r="O124" s="258"/>
    </row>
    <row r="125" spans="1:15" s="297" customFormat="1" ht="28" customHeight="1" x14ac:dyDescent="0.3">
      <c r="A125" s="341" t="s">
        <v>204</v>
      </c>
      <c r="B125" s="443" t="s">
        <v>205</v>
      </c>
      <c r="C125" s="87" t="s">
        <v>42</v>
      </c>
      <c r="D125" s="1">
        <v>0</v>
      </c>
      <c r="E125" s="36"/>
      <c r="F125" s="41">
        <v>0.2</v>
      </c>
      <c r="G125" s="348">
        <f>E125/(1-F125)</f>
        <v>0</v>
      </c>
      <c r="H125" s="348">
        <f>140*(20+60+200)</f>
        <v>39200</v>
      </c>
      <c r="I125" s="83">
        <v>0.15</v>
      </c>
      <c r="J125" s="79">
        <f>H125*(1+I125)</f>
        <v>45080</v>
      </c>
      <c r="K125" s="349">
        <f>J125*D125</f>
        <v>0</v>
      </c>
      <c r="L125" s="350">
        <f>G125+J125</f>
        <v>45080</v>
      </c>
      <c r="M125" s="351">
        <f>D125*L125</f>
        <v>0</v>
      </c>
      <c r="N125" s="258"/>
      <c r="O125" s="258"/>
    </row>
    <row r="126" spans="1:15" s="297" customFormat="1" ht="14.15" customHeight="1" x14ac:dyDescent="0.3">
      <c r="A126" s="341" t="s">
        <v>206</v>
      </c>
      <c r="B126" s="443" t="s">
        <v>207</v>
      </c>
      <c r="C126" s="29" t="s">
        <v>42</v>
      </c>
      <c r="D126" s="1">
        <v>0</v>
      </c>
      <c r="E126" s="36">
        <f>35*(50+50)</f>
        <v>3500</v>
      </c>
      <c r="F126" s="41">
        <v>0.2</v>
      </c>
      <c r="G126" s="348">
        <f>E126/(1-F126)</f>
        <v>4375</v>
      </c>
      <c r="H126" s="348">
        <f>5*(50+50+50)</f>
        <v>750</v>
      </c>
      <c r="I126" s="83">
        <v>0.15</v>
      </c>
      <c r="J126" s="79">
        <f>H126*(1+I126)</f>
        <v>862.49999999999989</v>
      </c>
      <c r="K126" s="349">
        <f>J126*D126</f>
        <v>0</v>
      </c>
      <c r="L126" s="350">
        <f>G126+J126</f>
        <v>5237.5</v>
      </c>
      <c r="M126" s="351">
        <f>D126*L126</f>
        <v>0</v>
      </c>
      <c r="N126" s="258"/>
      <c r="O126" s="258"/>
    </row>
    <row r="127" spans="1:15" s="297" customFormat="1" ht="14.5" customHeight="1" thickBot="1" x14ac:dyDescent="0.35">
      <c r="A127" s="381" t="s">
        <v>208</v>
      </c>
      <c r="B127" s="446" t="s">
        <v>209</v>
      </c>
      <c r="C127" s="76" t="s">
        <v>42</v>
      </c>
      <c r="D127" s="50">
        <v>0</v>
      </c>
      <c r="E127" s="51">
        <f>4500*3</f>
        <v>13500</v>
      </c>
      <c r="F127" s="52">
        <v>0.2</v>
      </c>
      <c r="G127" s="376">
        <f>E127/(1-F127)</f>
        <v>16875</v>
      </c>
      <c r="H127" s="376">
        <v>5</v>
      </c>
      <c r="I127" s="84">
        <v>0.15</v>
      </c>
      <c r="J127" s="80">
        <f>H127*(1+I127)</f>
        <v>5.75</v>
      </c>
      <c r="K127" s="382">
        <f>J127*D127</f>
        <v>0</v>
      </c>
      <c r="L127" s="407">
        <f>G127+J127</f>
        <v>16880.75</v>
      </c>
      <c r="M127" s="378">
        <f>D127*L127</f>
        <v>0</v>
      </c>
      <c r="N127" s="258"/>
      <c r="O127" s="258"/>
    </row>
    <row r="128" spans="1:15" s="297" customFormat="1" ht="14.5" customHeight="1" thickBot="1" x14ac:dyDescent="0.35">
      <c r="A128" s="404"/>
      <c r="B128" s="456"/>
      <c r="C128" s="28"/>
      <c r="D128" s="1"/>
      <c r="E128" s="36"/>
      <c r="F128" s="41"/>
      <c r="G128" s="348"/>
      <c r="H128" s="348"/>
      <c r="I128" s="79"/>
      <c r="J128" s="79"/>
      <c r="K128" s="406"/>
      <c r="L128" s="350"/>
      <c r="M128" s="351"/>
      <c r="N128" s="258"/>
      <c r="O128" s="258"/>
    </row>
    <row r="129" spans="1:15" s="297" customFormat="1" ht="14.15" customHeight="1" x14ac:dyDescent="0.3">
      <c r="A129" s="359">
        <v>2.1800000000000002</v>
      </c>
      <c r="B129" s="450"/>
      <c r="C129" s="75"/>
      <c r="D129" s="55" t="s">
        <v>210</v>
      </c>
      <c r="E129" s="56"/>
      <c r="F129" s="57"/>
      <c r="G129" s="361"/>
      <c r="H129" s="361"/>
      <c r="I129" s="56"/>
      <c r="J129" s="56"/>
      <c r="K129" s="362"/>
      <c r="L129" s="363"/>
      <c r="M129" s="363"/>
      <c r="N129" s="258"/>
      <c r="O129" s="258"/>
    </row>
    <row r="130" spans="1:15" s="297" customFormat="1" ht="14.15" customHeight="1" x14ac:dyDescent="0.3">
      <c r="A130" s="341"/>
      <c r="B130" s="454"/>
      <c r="C130" s="29"/>
      <c r="D130" s="1"/>
      <c r="E130" s="36"/>
      <c r="F130" s="41"/>
      <c r="G130" s="348"/>
      <c r="H130" s="348"/>
      <c r="I130" s="79"/>
      <c r="J130" s="79"/>
      <c r="K130" s="349"/>
      <c r="L130" s="350"/>
      <c r="M130" s="351"/>
      <c r="N130" s="258"/>
      <c r="O130" s="258"/>
    </row>
    <row r="131" spans="1:15" s="297" customFormat="1" ht="14.15" customHeight="1" x14ac:dyDescent="0.3">
      <c r="A131" s="341" t="s">
        <v>211</v>
      </c>
      <c r="B131" s="443" t="s">
        <v>243</v>
      </c>
      <c r="C131" s="29" t="s">
        <v>42</v>
      </c>
      <c r="D131" s="1">
        <v>1</v>
      </c>
      <c r="E131" s="36">
        <v>0</v>
      </c>
      <c r="F131" s="41">
        <v>0.2</v>
      </c>
      <c r="G131" s="348">
        <f>E131/(1-F131)</f>
        <v>0</v>
      </c>
      <c r="H131" s="348">
        <f>2500*3</f>
        <v>7500</v>
      </c>
      <c r="I131" s="79"/>
      <c r="J131" s="79"/>
      <c r="K131" s="349">
        <f>H131*D131</f>
        <v>7500</v>
      </c>
      <c r="L131" s="350">
        <f>G131+J131</f>
        <v>0</v>
      </c>
      <c r="M131" s="351">
        <f>D131*L131</f>
        <v>0</v>
      </c>
      <c r="N131" s="258"/>
      <c r="O131" s="258"/>
    </row>
    <row r="132" spans="1:15" s="297" customFormat="1" ht="14.5" customHeight="1" thickBot="1" x14ac:dyDescent="0.35">
      <c r="A132" s="381"/>
      <c r="B132" s="411"/>
      <c r="C132" s="77"/>
      <c r="D132" s="50"/>
      <c r="E132" s="51"/>
      <c r="F132" s="52"/>
      <c r="G132" s="376"/>
      <c r="H132" s="376"/>
      <c r="I132" s="80"/>
      <c r="J132" s="80"/>
      <c r="K132" s="382">
        <f>H132*D132</f>
        <v>0</v>
      </c>
      <c r="L132" s="412"/>
      <c r="M132" s="378"/>
      <c r="N132" s="258"/>
      <c r="O132" s="258"/>
    </row>
    <row r="133" spans="1:15" s="297" customFormat="1" ht="14.15" customHeight="1" x14ac:dyDescent="0.3">
      <c r="A133" s="369"/>
      <c r="B133" s="413"/>
      <c r="C133" s="28"/>
      <c r="D133" s="1"/>
      <c r="E133" s="36"/>
      <c r="F133" s="41"/>
      <c r="G133" s="348"/>
      <c r="H133" s="348"/>
      <c r="I133" s="36"/>
      <c r="J133" s="36"/>
      <c r="K133" s="414"/>
      <c r="L133" s="350"/>
      <c r="M133" s="351"/>
      <c r="N133" s="258"/>
      <c r="O133" s="258"/>
    </row>
    <row r="134" spans="1:15" s="297" customFormat="1" ht="14.15" customHeight="1" x14ac:dyDescent="0.3">
      <c r="A134" s="404">
        <v>2.19</v>
      </c>
      <c r="B134" s="455" t="s">
        <v>213</v>
      </c>
      <c r="C134" s="29"/>
      <c r="D134" s="1"/>
      <c r="E134" s="36"/>
      <c r="F134" s="41"/>
      <c r="G134" s="348"/>
      <c r="H134" s="348"/>
      <c r="I134" s="36"/>
      <c r="J134" s="36"/>
      <c r="K134" s="415">
        <f>H134*D134</f>
        <v>0</v>
      </c>
      <c r="L134" s="350"/>
      <c r="M134" s="351"/>
      <c r="N134" s="258"/>
      <c r="O134" s="258"/>
    </row>
    <row r="135" spans="1:15" s="297" customFormat="1" ht="14.15" customHeight="1" x14ac:dyDescent="0.3">
      <c r="A135" s="404" t="s">
        <v>214</v>
      </c>
      <c r="B135" s="443" t="s">
        <v>215</v>
      </c>
      <c r="C135" s="29" t="s">
        <v>42</v>
      </c>
      <c r="D135" s="1">
        <v>1</v>
      </c>
      <c r="E135" s="36">
        <v>25000</v>
      </c>
      <c r="F135" s="41">
        <v>0</v>
      </c>
      <c r="G135" s="348">
        <f>E135/(1-F135)</f>
        <v>25000</v>
      </c>
      <c r="H135" s="348">
        <v>0</v>
      </c>
      <c r="I135" s="36"/>
      <c r="J135" s="36"/>
      <c r="K135" s="415">
        <f>H135*D135</f>
        <v>0</v>
      </c>
      <c r="L135" s="350">
        <f>G135+H135</f>
        <v>25000</v>
      </c>
      <c r="M135" s="351">
        <f>D135*L135</f>
        <v>25000</v>
      </c>
      <c r="N135" s="258"/>
      <c r="O135" s="258"/>
    </row>
    <row r="136" spans="1:15" s="297" customFormat="1" ht="14.15" customHeight="1" x14ac:dyDescent="0.3">
      <c r="A136" s="404"/>
      <c r="B136" s="455"/>
      <c r="C136" s="29"/>
      <c r="D136" s="1"/>
      <c r="E136" s="36"/>
      <c r="F136" s="41"/>
      <c r="G136" s="348"/>
      <c r="H136" s="348"/>
      <c r="I136" s="36"/>
      <c r="J136" s="36"/>
      <c r="K136" s="415"/>
      <c r="L136" s="350"/>
      <c r="M136" s="351"/>
      <c r="N136" s="258"/>
      <c r="O136" s="258"/>
    </row>
    <row r="137" spans="1:15" s="297" customFormat="1" ht="14.15" customHeight="1" x14ac:dyDescent="0.3">
      <c r="A137" s="416">
        <v>2.2000000000000002</v>
      </c>
      <c r="B137" s="455" t="s">
        <v>216</v>
      </c>
      <c r="C137" s="29"/>
      <c r="D137" s="1"/>
      <c r="E137" s="36"/>
      <c r="F137" s="41"/>
      <c r="G137" s="348"/>
      <c r="H137" s="348"/>
      <c r="I137" s="36"/>
      <c r="J137" s="36"/>
      <c r="K137" s="415">
        <f>H137*D137</f>
        <v>0</v>
      </c>
      <c r="L137" s="350"/>
      <c r="M137" s="351"/>
      <c r="N137" s="258"/>
      <c r="O137" s="258"/>
    </row>
    <row r="138" spans="1:15" s="297" customFormat="1" ht="14.15" customHeight="1" x14ac:dyDescent="0.3">
      <c r="A138" s="404" t="s">
        <v>217</v>
      </c>
      <c r="B138" s="443" t="s">
        <v>218</v>
      </c>
      <c r="C138" s="29" t="s">
        <v>42</v>
      </c>
      <c r="D138" s="1">
        <v>1</v>
      </c>
      <c r="E138" s="36">
        <f>15000</f>
        <v>15000</v>
      </c>
      <c r="F138" s="41">
        <v>0</v>
      </c>
      <c r="G138" s="348">
        <f>E138/(1-F138)</f>
        <v>15000</v>
      </c>
      <c r="H138" s="348">
        <v>0</v>
      </c>
      <c r="I138" s="36"/>
      <c r="J138" s="36"/>
      <c r="K138" s="415">
        <f>H138*D138</f>
        <v>0</v>
      </c>
      <c r="L138" s="350">
        <f>G138+H138</f>
        <v>15000</v>
      </c>
      <c r="M138" s="351">
        <f>D138*L138</f>
        <v>15000</v>
      </c>
      <c r="N138" s="258"/>
      <c r="O138" s="258"/>
    </row>
    <row r="139" spans="1:15" s="297" customFormat="1" ht="14.15" customHeight="1" x14ac:dyDescent="0.3">
      <c r="A139" s="404"/>
      <c r="B139" s="455"/>
      <c r="C139" s="29"/>
      <c r="D139" s="1"/>
      <c r="E139" s="36"/>
      <c r="F139" s="41"/>
      <c r="G139" s="348"/>
      <c r="H139" s="348"/>
      <c r="I139" s="36"/>
      <c r="J139" s="36"/>
      <c r="K139" s="415"/>
      <c r="L139" s="350"/>
      <c r="M139" s="351"/>
      <c r="N139" s="258"/>
      <c r="O139" s="258"/>
    </row>
    <row r="140" spans="1:15" s="297" customFormat="1" ht="14.15" customHeight="1" x14ac:dyDescent="0.3">
      <c r="A140" s="404">
        <v>2.21</v>
      </c>
      <c r="B140" s="455" t="s">
        <v>219</v>
      </c>
      <c r="C140" s="29"/>
      <c r="D140" s="1"/>
      <c r="E140" s="36"/>
      <c r="F140" s="41"/>
      <c r="G140" s="348"/>
      <c r="H140" s="348"/>
      <c r="I140" s="36"/>
      <c r="J140" s="36"/>
      <c r="K140" s="415">
        <f>H140*D140</f>
        <v>0</v>
      </c>
      <c r="L140" s="350"/>
      <c r="M140" s="351"/>
      <c r="N140" s="258"/>
      <c r="O140" s="258"/>
    </row>
    <row r="141" spans="1:15" ht="14.15" customHeight="1" x14ac:dyDescent="0.3">
      <c r="A141" s="404" t="s">
        <v>220</v>
      </c>
      <c r="B141" s="443" t="s">
        <v>221</v>
      </c>
      <c r="C141" s="29" t="s">
        <v>42</v>
      </c>
      <c r="D141" s="1">
        <v>1</v>
      </c>
      <c r="E141" s="36">
        <f>5000</f>
        <v>5000</v>
      </c>
      <c r="F141" s="41">
        <v>0</v>
      </c>
      <c r="G141" s="348">
        <f>E141/(1-F141)</f>
        <v>5000</v>
      </c>
      <c r="H141" s="348">
        <v>0</v>
      </c>
      <c r="I141" s="36"/>
      <c r="J141" s="36"/>
      <c r="K141" s="415">
        <f>H141*D141</f>
        <v>0</v>
      </c>
      <c r="L141" s="350">
        <f>G141+H141</f>
        <v>5000</v>
      </c>
      <c r="M141" s="351">
        <f>D141*L141</f>
        <v>5000</v>
      </c>
      <c r="N141" s="258"/>
      <c r="O141" s="258"/>
    </row>
    <row r="142" spans="1:15" ht="14.15" customHeight="1" x14ac:dyDescent="0.3">
      <c r="A142" s="404" t="s">
        <v>222</v>
      </c>
      <c r="B142" s="443" t="s">
        <v>223</v>
      </c>
      <c r="C142" s="29" t="s">
        <v>42</v>
      </c>
      <c r="D142" s="1">
        <v>1</v>
      </c>
      <c r="E142" s="36">
        <f>50000</f>
        <v>50000</v>
      </c>
      <c r="F142" s="41">
        <v>0</v>
      </c>
      <c r="G142" s="348">
        <f>E142/(1-F142)</f>
        <v>50000</v>
      </c>
      <c r="H142" s="348">
        <v>0</v>
      </c>
      <c r="I142" s="36"/>
      <c r="J142" s="36"/>
      <c r="K142" s="415">
        <f>H142*D142</f>
        <v>0</v>
      </c>
      <c r="L142" s="350">
        <f>G142+H142</f>
        <v>50000</v>
      </c>
      <c r="M142" s="351">
        <f>D142*L142</f>
        <v>50000</v>
      </c>
      <c r="N142" s="258"/>
      <c r="O142" s="258"/>
    </row>
    <row r="143" spans="1:15" ht="14.15" customHeight="1" x14ac:dyDescent="0.3">
      <c r="A143" s="404"/>
      <c r="B143" s="413"/>
      <c r="C143" s="28"/>
      <c r="D143" s="1"/>
      <c r="E143" s="36"/>
      <c r="F143" s="41"/>
      <c r="G143" s="348"/>
      <c r="H143" s="348"/>
      <c r="I143" s="36"/>
      <c r="J143" s="36"/>
      <c r="K143" s="415"/>
      <c r="L143" s="350"/>
      <c r="M143" s="351"/>
      <c r="N143" s="258"/>
      <c r="O143" s="258"/>
    </row>
    <row r="144" spans="1:15" ht="14.15" customHeight="1" x14ac:dyDescent="0.3">
      <c r="A144" s="404">
        <v>2.2200000000000002</v>
      </c>
      <c r="B144" s="455" t="s">
        <v>224</v>
      </c>
      <c r="C144" s="28"/>
      <c r="D144" s="1"/>
      <c r="E144" s="36"/>
      <c r="F144" s="41"/>
      <c r="G144" s="348"/>
      <c r="H144" s="348"/>
      <c r="I144" s="36"/>
      <c r="J144" s="36"/>
      <c r="K144" s="415">
        <f>H144*D144</f>
        <v>0</v>
      </c>
      <c r="L144" s="350"/>
      <c r="M144" s="351"/>
      <c r="N144" s="258"/>
      <c r="O144" s="258"/>
    </row>
    <row r="145" spans="1:15" ht="14.15" customHeight="1" x14ac:dyDescent="0.3">
      <c r="A145" s="404"/>
      <c r="B145" s="413"/>
      <c r="C145" s="28"/>
      <c r="D145" s="1"/>
      <c r="E145" s="36"/>
      <c r="F145" s="41"/>
      <c r="G145" s="348"/>
      <c r="H145" s="348"/>
      <c r="I145" s="36"/>
      <c r="J145" s="36"/>
      <c r="K145" s="415">
        <f>H145*D145</f>
        <v>0</v>
      </c>
      <c r="L145" s="350"/>
      <c r="M145" s="351"/>
      <c r="N145" s="258"/>
      <c r="O145" s="258"/>
    </row>
    <row r="146" spans="1:15" ht="28" customHeight="1" x14ac:dyDescent="0.3">
      <c r="A146" s="404" t="s">
        <v>225</v>
      </c>
      <c r="B146" s="443" t="s">
        <v>226</v>
      </c>
      <c r="C146" s="28" t="s">
        <v>42</v>
      </c>
      <c r="D146" s="1">
        <v>1</v>
      </c>
      <c r="E146" s="36">
        <f>5000*3</f>
        <v>15000</v>
      </c>
      <c r="F146" s="41">
        <v>0.2</v>
      </c>
      <c r="G146" s="348">
        <f>E146/(1-F146)</f>
        <v>18750</v>
      </c>
      <c r="H146" s="348">
        <v>1</v>
      </c>
      <c r="I146" s="36"/>
      <c r="J146" s="36"/>
      <c r="K146" s="415">
        <f>H146*D146</f>
        <v>1</v>
      </c>
      <c r="L146" s="350">
        <f>G146+H146</f>
        <v>18751</v>
      </c>
      <c r="M146" s="351">
        <f>D146*L146</f>
        <v>18751</v>
      </c>
      <c r="N146" s="258"/>
      <c r="O146" s="258"/>
    </row>
    <row r="147" spans="1:15" ht="14.15" customHeight="1" x14ac:dyDescent="0.3">
      <c r="A147" s="404"/>
      <c r="B147" s="413"/>
      <c r="C147" s="28"/>
      <c r="D147" s="1"/>
      <c r="E147" s="36"/>
      <c r="F147" s="41"/>
      <c r="G147" s="348"/>
      <c r="H147" s="348"/>
      <c r="I147" s="36"/>
      <c r="J147" s="36"/>
      <c r="K147" s="417"/>
      <c r="L147" s="350"/>
      <c r="M147" s="418"/>
      <c r="N147" s="258"/>
      <c r="O147" s="258"/>
    </row>
    <row r="148" spans="1:15" ht="14.5" customHeight="1" thickBot="1" x14ac:dyDescent="0.35">
      <c r="A148" s="440"/>
      <c r="B148" s="413"/>
      <c r="C148" s="28"/>
      <c r="D148" s="1"/>
      <c r="E148" s="36"/>
      <c r="F148" s="41"/>
      <c r="G148" s="348"/>
      <c r="H148" s="348"/>
      <c r="I148" s="36"/>
      <c r="J148" s="36"/>
      <c r="K148" s="417"/>
      <c r="L148" s="350"/>
      <c r="M148" s="418"/>
      <c r="N148" s="258"/>
      <c r="O148" s="258"/>
    </row>
    <row r="149" spans="1:15" ht="18.75" customHeight="1" thickTop="1" x14ac:dyDescent="0.3">
      <c r="A149" s="419"/>
      <c r="B149" s="457" t="s">
        <v>227</v>
      </c>
      <c r="C149" s="2"/>
      <c r="D149" s="2"/>
      <c r="E149" s="39"/>
      <c r="F149" s="42"/>
      <c r="G149" s="421"/>
      <c r="H149" s="421"/>
      <c r="I149" s="39"/>
      <c r="J149" s="39"/>
      <c r="K149" s="422">
        <f>SUM(K11:K146)</f>
        <v>146127.75</v>
      </c>
      <c r="L149" s="458"/>
      <c r="M149" s="424">
        <f>SUM(M11:M148)</f>
        <v>1418462.4092261903</v>
      </c>
      <c r="N149" s="258"/>
      <c r="O149" s="258"/>
    </row>
    <row r="150" spans="1:15" ht="16.5" customHeight="1" x14ac:dyDescent="0.3">
      <c r="A150" s="426"/>
      <c r="B150" s="427"/>
      <c r="C150" s="257"/>
      <c r="D150" s="47"/>
      <c r="E150" s="250"/>
      <c r="F150" s="48"/>
      <c r="G150" s="428"/>
      <c r="H150" s="428"/>
      <c r="I150" s="250"/>
      <c r="J150" s="250"/>
      <c r="K150" s="429"/>
      <c r="L150" s="430"/>
      <c r="M150" s="431"/>
      <c r="N150" s="258"/>
      <c r="O150" s="258"/>
    </row>
    <row r="151" spans="1:15" ht="18.75" customHeight="1" x14ac:dyDescent="0.3">
      <c r="A151" s="258"/>
      <c r="B151" s="387"/>
      <c r="C151" s="34"/>
      <c r="D151" s="249"/>
      <c r="E151" s="249"/>
      <c r="F151" s="249"/>
      <c r="G151" s="432"/>
      <c r="H151" s="432"/>
      <c r="I151" s="249"/>
      <c r="J151" s="249"/>
      <c r="K151" s="432"/>
      <c r="L151" s="433"/>
      <c r="M151" s="434"/>
      <c r="N151" s="258"/>
      <c r="O151" s="258"/>
    </row>
    <row r="152" spans="1:15" ht="18.75" customHeight="1" x14ac:dyDescent="0.25"/>
    <row r="153" spans="1:15" ht="18.75" customHeight="1" x14ac:dyDescent="0.25"/>
    <row r="154" spans="1:15" ht="18.75" customHeight="1" x14ac:dyDescent="0.25"/>
    <row r="155" spans="1:15" ht="18.75" customHeight="1" x14ac:dyDescent="0.25"/>
    <row r="156" spans="1:15" ht="18.75" customHeight="1" x14ac:dyDescent="0.25"/>
    <row r="157" spans="1:15" ht="18.75" customHeight="1" x14ac:dyDescent="0.25"/>
    <row r="158" spans="1:15" ht="18.75" customHeight="1" x14ac:dyDescent="0.25"/>
    <row r="159" spans="1:15" ht="18.75" customHeight="1" x14ac:dyDescent="0.25"/>
    <row r="160" spans="1:15" ht="18.75" customHeight="1" x14ac:dyDescent="0.25"/>
    <row r="161" ht="18.75" customHeight="1" x14ac:dyDescent="0.25"/>
    <row r="162" ht="18.75" customHeight="1" x14ac:dyDescent="0.25"/>
    <row r="163" ht="18.75" customHeight="1" x14ac:dyDescent="0.25"/>
    <row r="164" ht="18.75" customHeight="1" x14ac:dyDescent="0.25"/>
    <row r="165" ht="18.75" customHeight="1" x14ac:dyDescent="0.25"/>
    <row r="166" ht="18.75" customHeight="1" x14ac:dyDescent="0.25"/>
    <row r="167" ht="18.75" customHeight="1" x14ac:dyDescent="0.25"/>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167"/>
  <sheetViews>
    <sheetView view="pageBreakPreview" zoomScale="70" zoomScaleNormal="100" zoomScaleSheetLayoutView="70" workbookViewId="0">
      <pane ySplit="5" topLeftCell="A141" activePane="bottomLeft" state="frozen"/>
      <selection pane="bottomLeft" activeCell="I156" sqref="I156"/>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1" width="13.81640625" style="8" customWidth="1"/>
    <col min="12" max="12" width="12.453125" style="295"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33" t="s">
        <v>36</v>
      </c>
      <c r="E5" s="82" t="s">
        <v>72</v>
      </c>
      <c r="F5" s="82" t="s">
        <v>73</v>
      </c>
      <c r="G5" s="313" t="s">
        <v>74</v>
      </c>
      <c r="H5" s="314" t="s">
        <v>75</v>
      </c>
      <c r="I5" s="82" t="s">
        <v>73</v>
      </c>
      <c r="J5" s="315" t="s">
        <v>76</v>
      </c>
      <c r="K5" s="316"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347" t="s">
        <v>413</v>
      </c>
      <c r="C11" s="248" t="s">
        <v>85</v>
      </c>
      <c r="D11" s="1">
        <v>1</v>
      </c>
      <c r="E11" s="36">
        <f>1623.93</f>
        <v>1623.93</v>
      </c>
      <c r="F11" s="41">
        <v>0.25</v>
      </c>
      <c r="G11" s="348">
        <f>E11/(1-F11)</f>
        <v>2165.2400000000002</v>
      </c>
      <c r="H11" s="348">
        <v>350</v>
      </c>
      <c r="I11" s="83">
        <v>0.15</v>
      </c>
      <c r="J11" s="79">
        <f>H11*(1+I11)</f>
        <v>402.49999999999994</v>
      </c>
      <c r="K11" s="349">
        <f>J11*D11</f>
        <v>402.49999999999994</v>
      </c>
      <c r="L11" s="350">
        <f>G11+J11</f>
        <v>2567.7400000000002</v>
      </c>
      <c r="M11" s="351">
        <f>D11*L11</f>
        <v>2567.7400000000002</v>
      </c>
      <c r="N11" s="258"/>
      <c r="O11" s="258"/>
    </row>
    <row r="12" spans="1:15" ht="14.5" customHeight="1" thickBot="1" x14ac:dyDescent="0.35">
      <c r="A12" s="354"/>
      <c r="B12" s="441"/>
      <c r="C12" s="71"/>
      <c r="D12" s="72"/>
      <c r="E12" s="73"/>
      <c r="F12" s="74"/>
      <c r="G12" s="356"/>
      <c r="H12" s="356"/>
      <c r="I12" s="73"/>
      <c r="J12" s="73"/>
      <c r="K12" s="357"/>
      <c r="L12" s="358"/>
      <c r="M12" s="358"/>
      <c r="N12" s="258"/>
      <c r="O12" s="258"/>
    </row>
    <row r="13" spans="1:15" ht="14.15" customHeight="1" x14ac:dyDescent="0.3">
      <c r="A13" s="359" t="s">
        <v>86</v>
      </c>
      <c r="B13" s="360"/>
      <c r="C13" s="255"/>
      <c r="D13" s="58" t="s">
        <v>87</v>
      </c>
      <c r="E13" s="56"/>
      <c r="F13" s="57"/>
      <c r="G13" s="361"/>
      <c r="H13" s="361"/>
      <c r="I13" s="56"/>
      <c r="J13" s="56"/>
      <c r="K13" s="362"/>
      <c r="L13" s="363"/>
      <c r="M13" s="363"/>
      <c r="N13" s="258"/>
      <c r="O13" s="258"/>
    </row>
    <row r="14" spans="1:15" ht="14.5" customHeight="1" thickBot="1" x14ac:dyDescent="0.35">
      <c r="A14" s="341" t="s">
        <v>88</v>
      </c>
      <c r="B14" s="442" t="s">
        <v>414</v>
      </c>
      <c r="C14" s="248" t="s">
        <v>85</v>
      </c>
      <c r="D14" s="1">
        <v>2</v>
      </c>
      <c r="E14" s="36">
        <v>42053.599999999999</v>
      </c>
      <c r="F14" s="41">
        <v>0.2</v>
      </c>
      <c r="G14" s="348">
        <f>E14/(1-F14)</f>
        <v>52566.999999999993</v>
      </c>
      <c r="H14" s="348">
        <f>(550*8)+3600</f>
        <v>8000</v>
      </c>
      <c r="I14" s="83">
        <v>0.15</v>
      </c>
      <c r="J14" s="79">
        <f>H14*(1+I14)</f>
        <v>9200</v>
      </c>
      <c r="K14" s="349">
        <f>J14*D14</f>
        <v>18400</v>
      </c>
      <c r="L14" s="350">
        <f>G14+J14</f>
        <v>61766.999999999993</v>
      </c>
      <c r="M14" s="351">
        <f>D14*L14</f>
        <v>123533.99999999999</v>
      </c>
      <c r="N14" s="258"/>
      <c r="O14" s="258"/>
    </row>
    <row r="15" spans="1:15" ht="14.5" customHeight="1" thickBot="1" x14ac:dyDescent="0.35">
      <c r="A15" s="354"/>
      <c r="B15" s="441"/>
      <c r="C15" s="71"/>
      <c r="D15" s="72"/>
      <c r="E15" s="73"/>
      <c r="F15" s="74"/>
      <c r="G15" s="356"/>
      <c r="H15" s="356"/>
      <c r="I15" s="73"/>
      <c r="J15" s="73"/>
      <c r="K15" s="357"/>
      <c r="L15" s="358"/>
      <c r="M15" s="358"/>
      <c r="N15" s="258"/>
      <c r="O15" s="258"/>
    </row>
    <row r="16" spans="1:15" ht="14.15" customHeight="1" x14ac:dyDescent="0.3">
      <c r="A16" s="359">
        <v>2.2999999999999998</v>
      </c>
      <c r="B16" s="367"/>
      <c r="C16" s="255"/>
      <c r="D16" s="58" t="s">
        <v>91</v>
      </c>
      <c r="E16" s="56"/>
      <c r="F16" s="57"/>
      <c r="G16" s="361"/>
      <c r="H16" s="361"/>
      <c r="I16" s="56"/>
      <c r="J16" s="56"/>
      <c r="K16" s="362"/>
      <c r="L16" s="363"/>
      <c r="M16" s="363"/>
      <c r="N16" s="258"/>
      <c r="O16" s="258"/>
    </row>
    <row r="17" spans="1:15" ht="14.15" customHeight="1" x14ac:dyDescent="0.3">
      <c r="A17" s="341" t="s">
        <v>92</v>
      </c>
      <c r="B17" s="443" t="s">
        <v>415</v>
      </c>
      <c r="C17" s="30" t="s">
        <v>85</v>
      </c>
      <c r="D17" s="1">
        <v>1</v>
      </c>
      <c r="E17" s="36">
        <v>20000</v>
      </c>
      <c r="F17" s="41">
        <v>0.2</v>
      </c>
      <c r="G17" s="348">
        <f>E17/(1-F17)</f>
        <v>25000</v>
      </c>
      <c r="H17" s="348">
        <f>(550*4)+3500</f>
        <v>5700</v>
      </c>
      <c r="I17" s="83">
        <v>0.15</v>
      </c>
      <c r="J17" s="79">
        <f>H17*(1+I17)</f>
        <v>6554.9999999999991</v>
      </c>
      <c r="K17" s="349">
        <f>J17*D17</f>
        <v>6554.9999999999991</v>
      </c>
      <c r="L17" s="350">
        <f>G17+J17</f>
        <v>31555</v>
      </c>
      <c r="M17" s="351">
        <f>D17*L17</f>
        <v>31555</v>
      </c>
      <c r="N17" s="258"/>
      <c r="O17" s="258"/>
    </row>
    <row r="18" spans="1:15" ht="14.5" customHeight="1" thickBot="1" x14ac:dyDescent="0.35">
      <c r="A18" s="341" t="s">
        <v>94</v>
      </c>
      <c r="B18" s="444" t="s">
        <v>416</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436"/>
      <c r="O18" s="369"/>
    </row>
    <row r="19" spans="1:15" ht="14.15" customHeight="1" x14ac:dyDescent="0.3">
      <c r="A19" s="359">
        <v>2.4</v>
      </c>
      <c r="B19" s="360"/>
      <c r="C19" s="255"/>
      <c r="D19" s="58" t="s">
        <v>96</v>
      </c>
      <c r="E19" s="56"/>
      <c r="F19" s="57"/>
      <c r="G19" s="361"/>
      <c r="H19" s="361"/>
      <c r="I19" s="56"/>
      <c r="J19" s="56"/>
      <c r="K19" s="362"/>
      <c r="L19" s="363"/>
      <c r="M19" s="363"/>
      <c r="N19" s="258"/>
      <c r="O19" s="258"/>
    </row>
    <row r="20" spans="1:15" ht="28" customHeight="1" x14ac:dyDescent="0.3">
      <c r="A20" s="370" t="s">
        <v>97</v>
      </c>
      <c r="B20" s="445" t="s">
        <v>417</v>
      </c>
      <c r="C20" s="7" t="s">
        <v>85</v>
      </c>
      <c r="D20" s="7">
        <v>2</v>
      </c>
      <c r="E20" s="37">
        <v>248274.72</v>
      </c>
      <c r="F20" s="41">
        <v>0.2</v>
      </c>
      <c r="G20" s="348">
        <f>E20/(1-F20)</f>
        <v>310343.39999999997</v>
      </c>
      <c r="H20" s="371">
        <f>(550*8)+3600</f>
        <v>8000</v>
      </c>
      <c r="I20" s="83">
        <v>0.15</v>
      </c>
      <c r="J20" s="79">
        <f>H20*(1+I20)</f>
        <v>9200</v>
      </c>
      <c r="K20" s="349">
        <f>J20*D20</f>
        <v>18400</v>
      </c>
      <c r="L20" s="350">
        <f>G20+J20</f>
        <v>319543.39999999997</v>
      </c>
      <c r="M20" s="351">
        <f>D20*L20</f>
        <v>639086.79999999993</v>
      </c>
      <c r="N20" s="258"/>
      <c r="O20" s="258"/>
    </row>
    <row r="21" spans="1:15" ht="14.15" customHeight="1" x14ac:dyDescent="0.3">
      <c r="A21" s="370"/>
      <c r="B21" s="443"/>
      <c r="C21" s="3"/>
      <c r="D21" s="7"/>
      <c r="E21" s="37"/>
      <c r="F21" s="41"/>
      <c r="G21" s="348"/>
      <c r="H21" s="371"/>
      <c r="I21" s="66"/>
      <c r="J21" s="66"/>
      <c r="K21" s="349"/>
      <c r="L21" s="350"/>
      <c r="M21" s="351"/>
      <c r="N21" s="258"/>
      <c r="O21" s="258"/>
    </row>
    <row r="22" spans="1:15" ht="14.15" customHeight="1" x14ac:dyDescent="0.3">
      <c r="A22" s="370" t="s">
        <v>99</v>
      </c>
      <c r="B22" s="443"/>
      <c r="C22" s="3"/>
      <c r="D22" s="7"/>
      <c r="E22" s="37"/>
      <c r="F22" s="41"/>
      <c r="G22" s="348"/>
      <c r="H22" s="371"/>
      <c r="I22" s="66"/>
      <c r="J22" s="66"/>
      <c r="K22" s="349"/>
      <c r="L22" s="350"/>
      <c r="M22" s="351"/>
      <c r="N22" s="258"/>
      <c r="O22" s="258"/>
    </row>
    <row r="23" spans="1:15" ht="28.5" customHeight="1" thickBot="1" x14ac:dyDescent="0.35">
      <c r="A23" s="374"/>
      <c r="B23" s="446" t="s">
        <v>100</v>
      </c>
      <c r="C23" s="68" t="s">
        <v>90</v>
      </c>
      <c r="D23" s="68">
        <v>8</v>
      </c>
      <c r="E23" s="69">
        <f>1888.71*1.15</f>
        <v>2172.0164999999997</v>
      </c>
      <c r="F23" s="52">
        <v>0.2</v>
      </c>
      <c r="G23" s="376">
        <f>E23/(1-F23)</f>
        <v>2715.0206249999997</v>
      </c>
      <c r="H23" s="377">
        <f>250*1</f>
        <v>250</v>
      </c>
      <c r="I23" s="83">
        <v>0.15</v>
      </c>
      <c r="J23" s="79">
        <f>H23*(1+I23)</f>
        <v>287.5</v>
      </c>
      <c r="K23" s="349">
        <f>J23*D23</f>
        <v>2300</v>
      </c>
      <c r="L23" s="350">
        <f>G23+J23</f>
        <v>3002.5206249999997</v>
      </c>
      <c r="M23" s="378">
        <f>D23*L23</f>
        <v>24020.164999999997</v>
      </c>
      <c r="N23" s="258"/>
      <c r="O23" s="258"/>
    </row>
    <row r="24" spans="1:15" ht="14.5" customHeight="1" thickBot="1" x14ac:dyDescent="0.35">
      <c r="A24" s="354"/>
      <c r="B24" s="441"/>
      <c r="C24" s="71"/>
      <c r="D24" s="72"/>
      <c r="E24" s="73"/>
      <c r="F24" s="74"/>
      <c r="G24" s="356"/>
      <c r="H24" s="356"/>
      <c r="I24" s="73"/>
      <c r="J24" s="73"/>
      <c r="K24" s="357"/>
      <c r="L24" s="358"/>
      <c r="M24" s="358"/>
      <c r="N24" s="258"/>
      <c r="O24" s="258"/>
    </row>
    <row r="25" spans="1:15" ht="14.15" customHeight="1" x14ac:dyDescent="0.3">
      <c r="A25" s="379">
        <v>2.5</v>
      </c>
      <c r="B25" s="360"/>
      <c r="C25" s="255"/>
      <c r="D25" s="58" t="s">
        <v>101</v>
      </c>
      <c r="E25" s="56"/>
      <c r="F25" s="57"/>
      <c r="G25" s="361"/>
      <c r="H25" s="361"/>
      <c r="I25" s="56"/>
      <c r="J25" s="56"/>
      <c r="K25" s="362"/>
      <c r="L25" s="363"/>
      <c r="M25" s="363"/>
      <c r="N25" s="258"/>
      <c r="O25" s="258"/>
    </row>
    <row r="26" spans="1:15" ht="14.15" customHeight="1" x14ac:dyDescent="0.3">
      <c r="A26" s="380" t="s">
        <v>102</v>
      </c>
      <c r="B26" s="444" t="s">
        <v>103</v>
      </c>
      <c r="C26" s="7" t="s">
        <v>85</v>
      </c>
      <c r="D26" s="7">
        <f>D11</f>
        <v>1</v>
      </c>
      <c r="E26" s="37">
        <v>650</v>
      </c>
      <c r="F26" s="41">
        <v>0.2</v>
      </c>
      <c r="G26" s="348">
        <f>E26/(1-F26)</f>
        <v>812.5</v>
      </c>
      <c r="H26" s="371">
        <f>(((5*200)*4)*1.2)/D26</f>
        <v>4800</v>
      </c>
      <c r="I26" s="83">
        <v>0.15</v>
      </c>
      <c r="J26" s="79">
        <f>H26*(1+I26)</f>
        <v>5520</v>
      </c>
      <c r="K26" s="349">
        <f>J26*D26</f>
        <v>5520</v>
      </c>
      <c r="L26" s="350">
        <f>G26+J26</f>
        <v>6332.5</v>
      </c>
      <c r="M26" s="351">
        <f>D26*L26</f>
        <v>6332.5</v>
      </c>
      <c r="N26" s="258"/>
      <c r="O26" s="258"/>
    </row>
    <row r="27" spans="1:15" ht="14.5" customHeight="1" thickBot="1" x14ac:dyDescent="0.35">
      <c r="A27" s="381"/>
      <c r="B27" s="446" t="s">
        <v>104</v>
      </c>
      <c r="C27" s="49"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441"/>
      <c r="C28" s="71"/>
      <c r="D28" s="72"/>
      <c r="E28" s="73"/>
      <c r="F28" s="74"/>
      <c r="G28" s="356"/>
      <c r="H28" s="356"/>
      <c r="I28" s="73"/>
      <c r="J28" s="73"/>
      <c r="K28" s="357"/>
      <c r="L28" s="358"/>
      <c r="M28" s="358"/>
      <c r="N28" s="258"/>
      <c r="O28" s="258"/>
    </row>
    <row r="29" spans="1:15" ht="14.15" customHeight="1" x14ac:dyDescent="0.3">
      <c r="A29" s="359">
        <v>2.6</v>
      </c>
      <c r="B29" s="360"/>
      <c r="C29" s="255"/>
      <c r="D29" s="58" t="s">
        <v>105</v>
      </c>
      <c r="E29" s="56"/>
      <c r="F29" s="57"/>
      <c r="G29" s="361"/>
      <c r="H29" s="361"/>
      <c r="I29" s="56"/>
      <c r="J29" s="56"/>
      <c r="K29" s="362"/>
      <c r="L29" s="363"/>
      <c r="M29" s="363"/>
      <c r="N29" s="258"/>
      <c r="O29" s="258"/>
    </row>
    <row r="30" spans="1:15" ht="42" customHeight="1" x14ac:dyDescent="0.3">
      <c r="A30" s="341" t="s">
        <v>106</v>
      </c>
      <c r="B30" s="444" t="s">
        <v>107</v>
      </c>
      <c r="C30" s="248" t="s">
        <v>108</v>
      </c>
      <c r="D30" s="1">
        <v>0</v>
      </c>
      <c r="E30" s="36">
        <f>14.85*1.15</f>
        <v>17.077499999999997</v>
      </c>
      <c r="F30" s="41">
        <v>0.2</v>
      </c>
      <c r="G30" s="348">
        <f>E30/(1-F30)</f>
        <v>21.346874999999994</v>
      </c>
      <c r="H30" s="348">
        <f>39</f>
        <v>39</v>
      </c>
      <c r="I30" s="83">
        <v>0.15</v>
      </c>
      <c r="J30" s="79">
        <f>H30*(1+I30)</f>
        <v>44.849999999999994</v>
      </c>
      <c r="K30" s="349">
        <f>J30*D30</f>
        <v>0</v>
      </c>
      <c r="L30" s="350">
        <f>G30+J30</f>
        <v>66.196874999999991</v>
      </c>
      <c r="M30" s="351">
        <f>D30*L30</f>
        <v>0</v>
      </c>
      <c r="N30" s="258"/>
      <c r="O30" s="258"/>
    </row>
    <row r="31" spans="1:15" ht="14.15" customHeight="1" x14ac:dyDescent="0.3">
      <c r="A31" s="341" t="s">
        <v>109</v>
      </c>
      <c r="B31" s="443" t="s">
        <v>110</v>
      </c>
      <c r="C31" s="30" t="s">
        <v>108</v>
      </c>
      <c r="D31" s="1">
        <f>8 +N("2m * 4 cables")</f>
        <v>8</v>
      </c>
      <c r="E31" s="36">
        <f>180*1.15</f>
        <v>206.99999999999997</v>
      </c>
      <c r="F31" s="41">
        <v>0.2</v>
      </c>
      <c r="G31" s="348">
        <f>E31/(1-F31)</f>
        <v>258.74999999999994</v>
      </c>
      <c r="H31" s="348">
        <f>65</f>
        <v>65</v>
      </c>
      <c r="I31" s="83">
        <v>0.15</v>
      </c>
      <c r="J31" s="79">
        <f>H31*(1+I31)</f>
        <v>74.75</v>
      </c>
      <c r="K31" s="349">
        <f>J31*D31</f>
        <v>598</v>
      </c>
      <c r="L31" s="350">
        <f>G31+J31</f>
        <v>333.49999999999994</v>
      </c>
      <c r="M31" s="351">
        <f>D31*L31</f>
        <v>2667.9999999999995</v>
      </c>
      <c r="N31" s="258"/>
      <c r="O31" s="258"/>
    </row>
    <row r="32" spans="1:15" ht="14.15" customHeight="1" x14ac:dyDescent="0.3">
      <c r="A32" s="341" t="s">
        <v>111</v>
      </c>
      <c r="B32" s="443" t="s">
        <v>112</v>
      </c>
      <c r="C32" s="30"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258"/>
    </row>
    <row r="33" spans="1:15" ht="14.5" customHeight="1" thickBot="1" x14ac:dyDescent="0.35">
      <c r="A33" s="381"/>
      <c r="B33" s="447" t="s">
        <v>113</v>
      </c>
      <c r="C33" s="49"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441"/>
      <c r="C34" s="71"/>
      <c r="D34" s="72"/>
      <c r="E34" s="73"/>
      <c r="F34" s="74"/>
      <c r="G34" s="356"/>
      <c r="H34" s="356"/>
      <c r="I34" s="73"/>
      <c r="J34" s="73"/>
      <c r="K34" s="357"/>
      <c r="L34" s="358"/>
      <c r="M34" s="358"/>
      <c r="N34" s="258"/>
      <c r="O34" s="258"/>
    </row>
    <row r="35" spans="1:15" ht="14.15" customHeight="1" x14ac:dyDescent="0.3">
      <c r="A35" s="359">
        <v>2.7</v>
      </c>
      <c r="B35" s="360"/>
      <c r="C35" s="255"/>
      <c r="D35" s="58" t="s">
        <v>114</v>
      </c>
      <c r="E35" s="56"/>
      <c r="F35" s="57"/>
      <c r="G35" s="361"/>
      <c r="H35" s="361"/>
      <c r="I35" s="56"/>
      <c r="J35" s="56"/>
      <c r="K35" s="362"/>
      <c r="L35" s="363"/>
      <c r="M35" s="363"/>
      <c r="N35" s="258"/>
      <c r="O35" s="258"/>
    </row>
    <row r="36" spans="1:15" ht="28" customHeight="1" x14ac:dyDescent="0.3">
      <c r="A36" s="370" t="s">
        <v>115</v>
      </c>
      <c r="B36" s="444" t="s">
        <v>116</v>
      </c>
      <c r="C36" s="7" t="s">
        <v>85</v>
      </c>
      <c r="D36" s="7">
        <v>0</v>
      </c>
      <c r="E36" s="37">
        <f>13501.37*1.2</f>
        <v>16201.644</v>
      </c>
      <c r="F36" s="41">
        <v>0.2</v>
      </c>
      <c r="G36" s="348">
        <f>E36/(1-F36)</f>
        <v>20252.055</v>
      </c>
      <c r="H36" s="371">
        <f>250*2</f>
        <v>500</v>
      </c>
      <c r="I36" s="83">
        <v>0.15</v>
      </c>
      <c r="J36" s="79">
        <f>H36*(1+I36)</f>
        <v>575</v>
      </c>
      <c r="K36" s="349">
        <f>J36*D36</f>
        <v>0</v>
      </c>
      <c r="L36" s="350">
        <f>G36+J36</f>
        <v>20827.055</v>
      </c>
      <c r="M36" s="351">
        <f>D36*L36</f>
        <v>0</v>
      </c>
      <c r="N36" s="258"/>
      <c r="O36" s="258"/>
    </row>
    <row r="37" spans="1:15" ht="28.5" customHeight="1" thickBot="1" x14ac:dyDescent="0.35">
      <c r="A37" s="381" t="s">
        <v>117</v>
      </c>
      <c r="B37" s="446" t="s">
        <v>118</v>
      </c>
      <c r="C37" s="68" t="s">
        <v>85</v>
      </c>
      <c r="D37" s="68">
        <v>0</v>
      </c>
      <c r="E37" s="69">
        <f>13501.37*1.2</f>
        <v>16201.644</v>
      </c>
      <c r="F37" s="52">
        <v>0.2</v>
      </c>
      <c r="G37" s="376">
        <f>E37/(1-F37)</f>
        <v>20252.055</v>
      </c>
      <c r="H37" s="377">
        <f>250*2</f>
        <v>500</v>
      </c>
      <c r="I37" s="83">
        <v>0.15</v>
      </c>
      <c r="J37" s="79">
        <f>H37*(1+I37)</f>
        <v>575</v>
      </c>
      <c r="K37" s="382">
        <f>J37*D37</f>
        <v>0</v>
      </c>
      <c r="L37" s="350">
        <f>G37+J37</f>
        <v>20827.055</v>
      </c>
      <c r="M37" s="378">
        <f>D37*L37</f>
        <v>0</v>
      </c>
      <c r="N37" s="258"/>
      <c r="O37" s="258"/>
    </row>
    <row r="38" spans="1:15" ht="14.5" customHeight="1" thickBot="1" x14ac:dyDescent="0.35">
      <c r="A38" s="354"/>
      <c r="B38" s="441"/>
      <c r="C38" s="71"/>
      <c r="D38" s="72"/>
      <c r="E38" s="73"/>
      <c r="F38" s="74"/>
      <c r="G38" s="356"/>
      <c r="H38" s="356"/>
      <c r="I38" s="73"/>
      <c r="J38" s="73"/>
      <c r="K38" s="357"/>
      <c r="L38" s="358"/>
      <c r="M38" s="358"/>
      <c r="N38" s="258"/>
      <c r="O38" s="258"/>
    </row>
    <row r="39" spans="1:15" ht="16.5" customHeight="1" x14ac:dyDescent="0.3">
      <c r="A39" s="359">
        <v>2.8</v>
      </c>
      <c r="B39" s="360"/>
      <c r="C39" s="255"/>
      <c r="D39" s="58" t="s">
        <v>119</v>
      </c>
      <c r="E39" s="56"/>
      <c r="F39" s="57"/>
      <c r="G39" s="361"/>
      <c r="H39" s="361"/>
      <c r="I39" s="56"/>
      <c r="J39" s="56"/>
      <c r="K39" s="362"/>
      <c r="L39" s="363"/>
      <c r="M39" s="363"/>
      <c r="N39" s="258"/>
      <c r="O39" s="258"/>
    </row>
    <row r="40" spans="1:15" ht="16.5" customHeight="1" x14ac:dyDescent="0.3">
      <c r="A40" s="384"/>
      <c r="B40" s="342"/>
      <c r="C40" s="30"/>
      <c r="D40" s="1"/>
      <c r="E40" s="36"/>
      <c r="F40" s="41"/>
      <c r="G40" s="348"/>
      <c r="H40" s="348"/>
      <c r="I40" s="83"/>
      <c r="J40" s="79"/>
      <c r="K40" s="349"/>
      <c r="L40" s="350"/>
      <c r="M40" s="351"/>
      <c r="N40" s="258"/>
      <c r="O40" s="258"/>
    </row>
    <row r="41" spans="1:15" ht="14.15" customHeight="1" x14ac:dyDescent="0.3">
      <c r="A41" s="341" t="s">
        <v>120</v>
      </c>
      <c r="B41" s="385" t="s">
        <v>121</v>
      </c>
      <c r="C41" s="30" t="s">
        <v>85</v>
      </c>
      <c r="D41" s="1">
        <f>2 + N("AC in, AC Out")</f>
        <v>2</v>
      </c>
      <c r="E41" s="36">
        <v>2500</v>
      </c>
      <c r="F41" s="41">
        <v>0.2</v>
      </c>
      <c r="G41" s="348">
        <f>E41/(1-F41)</f>
        <v>3125</v>
      </c>
      <c r="H41" s="348">
        <f>(250+100)*4</f>
        <v>1400</v>
      </c>
      <c r="I41" s="83">
        <v>0.15</v>
      </c>
      <c r="J41" s="79">
        <f>H41*(1+I41)</f>
        <v>1609.9999999999998</v>
      </c>
      <c r="K41" s="349">
        <f>J41*D41</f>
        <v>3219.9999999999995</v>
      </c>
      <c r="L41" s="350">
        <f>G41+J41</f>
        <v>4735</v>
      </c>
      <c r="M41" s="351">
        <f>D41*L41</f>
        <v>9470</v>
      </c>
      <c r="N41" s="258"/>
      <c r="O41" s="258"/>
    </row>
    <row r="42" spans="1:15" ht="14.15" customHeight="1" x14ac:dyDescent="0.3">
      <c r="A42" s="341"/>
      <c r="B42" s="448"/>
      <c r="C42" s="27"/>
      <c r="D42" s="1"/>
      <c r="E42" s="36"/>
      <c r="F42" s="41"/>
      <c r="G42" s="348"/>
      <c r="H42" s="348"/>
      <c r="I42" s="79"/>
      <c r="J42" s="79"/>
      <c r="K42" s="349"/>
      <c r="L42" s="350"/>
      <c r="M42" s="351"/>
      <c r="N42" s="258"/>
      <c r="O42" s="258"/>
    </row>
    <row r="43" spans="1:15" ht="14.15" customHeight="1" x14ac:dyDescent="0.3">
      <c r="A43" s="341" t="s">
        <v>122</v>
      </c>
      <c r="B43" s="385" t="s">
        <v>123</v>
      </c>
      <c r="C43" s="30" t="s">
        <v>85</v>
      </c>
      <c r="D43" s="1">
        <v>0</v>
      </c>
      <c r="E43" s="36">
        <v>1800</v>
      </c>
      <c r="F43" s="41">
        <v>0.2</v>
      </c>
      <c r="G43" s="348">
        <f>E43/(1-F43)</f>
        <v>2250</v>
      </c>
      <c r="H43" s="348">
        <f>(250+100)*4</f>
        <v>1400</v>
      </c>
      <c r="I43" s="83">
        <v>0.15</v>
      </c>
      <c r="J43" s="79">
        <f>H43*(1+I43)</f>
        <v>1609.9999999999998</v>
      </c>
      <c r="K43" s="349">
        <f>J43*D43</f>
        <v>0</v>
      </c>
      <c r="L43" s="350">
        <f>G43+J43</f>
        <v>3860</v>
      </c>
      <c r="M43" s="351">
        <f>D43*L43</f>
        <v>0</v>
      </c>
      <c r="N43" s="258"/>
      <c r="O43" s="258"/>
    </row>
    <row r="44" spans="1:15" ht="14.15" customHeight="1" x14ac:dyDescent="0.3">
      <c r="A44" s="341"/>
      <c r="B44" s="385"/>
      <c r="C44" s="30"/>
      <c r="D44" s="1"/>
      <c r="E44" s="36"/>
      <c r="F44" s="41"/>
      <c r="G44" s="348"/>
      <c r="H44" s="348"/>
      <c r="I44" s="79"/>
      <c r="J44" s="79"/>
      <c r="K44" s="349"/>
      <c r="L44" s="350"/>
      <c r="M44" s="351"/>
      <c r="N44" s="258"/>
      <c r="O44" s="258"/>
    </row>
    <row r="45" spans="1:15" ht="14.15" customHeight="1" x14ac:dyDescent="0.3">
      <c r="A45" s="341" t="s">
        <v>124</v>
      </c>
      <c r="B45" s="385" t="s">
        <v>125</v>
      </c>
      <c r="C45" s="30" t="s">
        <v>85</v>
      </c>
      <c r="D45" s="1">
        <f>2 + N("Isolators: AC in, AC out")</f>
        <v>2</v>
      </c>
      <c r="E45" s="36">
        <f>550*1.2</f>
        <v>660</v>
      </c>
      <c r="F45" s="41">
        <v>0.2</v>
      </c>
      <c r="G45" s="348">
        <f>E45/(1-F45)</f>
        <v>825</v>
      </c>
      <c r="H45" s="348">
        <f>(250+100)*4</f>
        <v>1400</v>
      </c>
      <c r="I45" s="83">
        <v>0.15</v>
      </c>
      <c r="J45" s="79">
        <f>H45*(1+I45)</f>
        <v>1609.9999999999998</v>
      </c>
      <c r="K45" s="349">
        <f>J45*D45</f>
        <v>3219.9999999999995</v>
      </c>
      <c r="L45" s="350">
        <f>G45+J45</f>
        <v>2435</v>
      </c>
      <c r="M45" s="351">
        <f>D45*L45</f>
        <v>4870</v>
      </c>
      <c r="N45" s="258"/>
      <c r="O45" s="258"/>
    </row>
    <row r="46" spans="1:15" ht="14.15" customHeight="1" x14ac:dyDescent="0.3">
      <c r="A46" s="341"/>
      <c r="B46" s="387"/>
      <c r="C46" s="27"/>
      <c r="D46" s="1"/>
      <c r="E46" s="36"/>
      <c r="F46" s="41"/>
      <c r="G46" s="348"/>
      <c r="H46" s="348"/>
      <c r="I46" s="79"/>
      <c r="J46" s="79"/>
      <c r="K46" s="349"/>
      <c r="L46" s="350"/>
      <c r="M46" s="351"/>
      <c r="N46" s="258"/>
      <c r="O46" s="258"/>
    </row>
    <row r="47" spans="1:15" ht="14.5" customHeight="1" thickBot="1" x14ac:dyDescent="0.35">
      <c r="A47" s="381" t="s">
        <v>126</v>
      </c>
      <c r="B47" s="388" t="s">
        <v>127</v>
      </c>
      <c r="C47" s="49" t="s">
        <v>85</v>
      </c>
      <c r="D47" s="50">
        <v>1</v>
      </c>
      <c r="E47" s="51">
        <f>550*1.2</f>
        <v>660</v>
      </c>
      <c r="F47" s="52">
        <v>0.2</v>
      </c>
      <c r="G47" s="376">
        <f>E47/(1-F47)</f>
        <v>825</v>
      </c>
      <c r="H47" s="376">
        <f>(250+100)*4</f>
        <v>1400</v>
      </c>
      <c r="I47" s="83">
        <v>0.15</v>
      </c>
      <c r="J47" s="79">
        <f>H47*(1+I47)</f>
        <v>1609.9999999999998</v>
      </c>
      <c r="K47" s="349">
        <f>J47*D47</f>
        <v>1609.9999999999998</v>
      </c>
      <c r="L47" s="350">
        <f>G47+J47</f>
        <v>2435</v>
      </c>
      <c r="M47" s="378">
        <f>D47*L47</f>
        <v>2435</v>
      </c>
      <c r="N47" s="258"/>
      <c r="O47" s="258"/>
    </row>
    <row r="48" spans="1:15" ht="14.5" customHeight="1" thickBot="1" x14ac:dyDescent="0.35">
      <c r="A48" s="354"/>
      <c r="B48" s="441"/>
      <c r="C48" s="71"/>
      <c r="D48" s="72"/>
      <c r="E48" s="73"/>
      <c r="F48" s="74"/>
      <c r="G48" s="356"/>
      <c r="H48" s="356"/>
      <c r="I48" s="73"/>
      <c r="J48" s="73"/>
      <c r="K48" s="357"/>
      <c r="L48" s="358"/>
      <c r="M48" s="358"/>
      <c r="N48" s="258"/>
      <c r="O48" s="258"/>
    </row>
    <row r="49" spans="1:15" ht="16.5" customHeight="1" x14ac:dyDescent="0.3">
      <c r="A49" s="359">
        <v>2.9</v>
      </c>
      <c r="B49" s="367"/>
      <c r="C49" s="255"/>
      <c r="D49" s="58" t="s">
        <v>128</v>
      </c>
      <c r="E49" s="56"/>
      <c r="F49" s="57"/>
      <c r="G49" s="361"/>
      <c r="H49" s="361"/>
      <c r="I49" s="56"/>
      <c r="J49" s="56"/>
      <c r="K49" s="362"/>
      <c r="L49" s="363"/>
      <c r="M49" s="363"/>
      <c r="N49" s="258"/>
      <c r="O49" s="258"/>
    </row>
    <row r="50" spans="1:15" ht="16.5" customHeight="1" x14ac:dyDescent="0.3">
      <c r="A50" s="341"/>
      <c r="B50" s="342"/>
      <c r="C50" s="30"/>
      <c r="D50" s="1"/>
      <c r="E50" s="36"/>
      <c r="F50" s="41"/>
      <c r="G50" s="348"/>
      <c r="H50" s="348"/>
      <c r="I50" s="79"/>
      <c r="J50" s="79"/>
      <c r="K50" s="349"/>
      <c r="L50" s="350"/>
      <c r="M50" s="351"/>
      <c r="N50" s="258"/>
      <c r="O50" s="258"/>
    </row>
    <row r="51" spans="1:15" ht="14.15" customHeight="1" x14ac:dyDescent="0.3">
      <c r="A51" s="341" t="s">
        <v>129</v>
      </c>
      <c r="B51" s="385" t="s">
        <v>130</v>
      </c>
      <c r="C51" s="30" t="s">
        <v>85</v>
      </c>
      <c r="D51" s="1">
        <v>0</v>
      </c>
      <c r="E51" s="36">
        <v>2500</v>
      </c>
      <c r="F51" s="41">
        <v>0.2</v>
      </c>
      <c r="G51" s="348">
        <f>E51/(1-F51)</f>
        <v>3125</v>
      </c>
      <c r="H51" s="348">
        <f>250*1</f>
        <v>250</v>
      </c>
      <c r="I51" s="83">
        <v>0.15</v>
      </c>
      <c r="J51" s="79">
        <f>H51*(1+I51)</f>
        <v>287.5</v>
      </c>
      <c r="K51" s="349">
        <f>J51*D51</f>
        <v>0</v>
      </c>
      <c r="L51" s="350">
        <f>G51+J51</f>
        <v>3412.5</v>
      </c>
      <c r="M51" s="351">
        <f>D51*L51</f>
        <v>0</v>
      </c>
      <c r="N51" s="258"/>
      <c r="O51" s="258"/>
    </row>
    <row r="52" spans="1:15" ht="14.15" customHeight="1" x14ac:dyDescent="0.3">
      <c r="A52" s="341"/>
      <c r="B52" s="385"/>
      <c r="C52" s="30"/>
      <c r="D52" s="1"/>
      <c r="E52" s="36"/>
      <c r="F52" s="41"/>
      <c r="G52" s="348"/>
      <c r="H52" s="348"/>
      <c r="I52" s="79"/>
      <c r="J52" s="79"/>
      <c r="K52" s="349"/>
      <c r="L52" s="350"/>
      <c r="M52" s="351"/>
      <c r="N52" s="258"/>
      <c r="O52" s="258"/>
    </row>
    <row r="53" spans="1:15" ht="14.15" customHeight="1" x14ac:dyDescent="0.3">
      <c r="A53" s="341" t="s">
        <v>131</v>
      </c>
      <c r="B53" s="385" t="s">
        <v>132</v>
      </c>
      <c r="C53" s="30" t="s">
        <v>85</v>
      </c>
      <c r="D53" s="1">
        <f>2 + N("AC in, AC out")</f>
        <v>2</v>
      </c>
      <c r="E53" s="36">
        <v>5729</v>
      </c>
      <c r="F53" s="41">
        <v>0.2</v>
      </c>
      <c r="G53" s="348">
        <f>E53/(1-F53)</f>
        <v>7161.25</v>
      </c>
      <c r="H53" s="348">
        <v>250</v>
      </c>
      <c r="I53" s="83">
        <v>0.15</v>
      </c>
      <c r="J53" s="79">
        <f>H53*(1+I53)</f>
        <v>287.5</v>
      </c>
      <c r="K53" s="349">
        <f>J53*D53</f>
        <v>575</v>
      </c>
      <c r="L53" s="350">
        <f>G53+J53</f>
        <v>7448.75</v>
      </c>
      <c r="M53" s="351">
        <f>D53*L53</f>
        <v>14897.5</v>
      </c>
      <c r="N53" s="258"/>
      <c r="O53" s="258"/>
    </row>
    <row r="54" spans="1:15" ht="14.15" customHeight="1" x14ac:dyDescent="0.3">
      <c r="A54" s="341"/>
      <c r="B54" s="387"/>
      <c r="C54" s="27"/>
      <c r="D54" s="1"/>
      <c r="E54" s="36"/>
      <c r="F54" s="41"/>
      <c r="G54" s="348"/>
      <c r="H54" s="348"/>
      <c r="I54" s="79"/>
      <c r="J54" s="79"/>
      <c r="K54" s="349"/>
      <c r="L54" s="350"/>
      <c r="M54" s="351"/>
      <c r="N54" s="258"/>
      <c r="O54" s="258"/>
    </row>
    <row r="55" spans="1:15" ht="14.15" customHeight="1" x14ac:dyDescent="0.3">
      <c r="A55" s="341" t="s">
        <v>133</v>
      </c>
      <c r="B55" s="387" t="s">
        <v>134</v>
      </c>
      <c r="C55" s="30" t="s">
        <v>85</v>
      </c>
      <c r="D55" s="1">
        <v>1</v>
      </c>
      <c r="E55" s="36">
        <f>5729</f>
        <v>5729</v>
      </c>
      <c r="F55" s="41">
        <v>0.2</v>
      </c>
      <c r="G55" s="348">
        <f>E55/(1-F55)</f>
        <v>7161.25</v>
      </c>
      <c r="H55" s="348">
        <v>250</v>
      </c>
      <c r="I55" s="83">
        <v>0.15</v>
      </c>
      <c r="J55" s="79">
        <f>H55*(1+I55)</f>
        <v>287.5</v>
      </c>
      <c r="K55" s="349">
        <f>J55*D55</f>
        <v>287.5</v>
      </c>
      <c r="L55" s="350">
        <f>G55+J55</f>
        <v>7448.75</v>
      </c>
      <c r="M55" s="351">
        <f>D55*L55</f>
        <v>7448.75</v>
      </c>
      <c r="N55" s="258"/>
      <c r="O55" s="258"/>
    </row>
    <row r="56" spans="1:15" ht="14.15" customHeight="1" x14ac:dyDescent="0.3">
      <c r="A56" s="341"/>
      <c r="B56" s="387"/>
      <c r="C56" s="29"/>
      <c r="D56" s="1"/>
      <c r="E56" s="36"/>
      <c r="F56" s="41"/>
      <c r="G56" s="348"/>
      <c r="H56" s="348"/>
      <c r="I56" s="79"/>
      <c r="J56" s="79"/>
      <c r="K56" s="349"/>
      <c r="L56" s="350"/>
      <c r="M56" s="351"/>
      <c r="N56" s="258"/>
      <c r="O56" s="258"/>
    </row>
    <row r="57" spans="1:15" ht="28" customHeight="1" x14ac:dyDescent="0.3">
      <c r="A57" s="341" t="s">
        <v>135</v>
      </c>
      <c r="B57" s="385" t="s">
        <v>136</v>
      </c>
      <c r="C57" s="248" t="s">
        <v>85</v>
      </c>
      <c r="D57" s="1">
        <v>3</v>
      </c>
      <c r="E57" s="36">
        <v>350</v>
      </c>
      <c r="F57" s="41">
        <v>0.2</v>
      </c>
      <c r="G57" s="348">
        <f>E57/(1-F57)</f>
        <v>437.5</v>
      </c>
      <c r="H57" s="348">
        <v>250</v>
      </c>
      <c r="I57" s="83">
        <v>0.15</v>
      </c>
      <c r="J57" s="79">
        <f>H57*(1+I57)</f>
        <v>287.5</v>
      </c>
      <c r="K57" s="349">
        <f>J57*D57</f>
        <v>862.5</v>
      </c>
      <c r="L57" s="350">
        <f>G57+J57</f>
        <v>725</v>
      </c>
      <c r="M57" s="351">
        <f>D57*L57</f>
        <v>2175</v>
      </c>
      <c r="N57" s="258"/>
      <c r="O57" s="258"/>
    </row>
    <row r="58" spans="1:15" ht="14.15" customHeight="1" x14ac:dyDescent="0.3">
      <c r="A58" s="341"/>
      <c r="B58" s="387"/>
      <c r="C58" s="27"/>
      <c r="D58" s="1"/>
      <c r="E58" s="36"/>
      <c r="F58" s="41"/>
      <c r="G58" s="348"/>
      <c r="H58" s="348"/>
      <c r="I58" s="79"/>
      <c r="J58" s="79"/>
      <c r="K58" s="349"/>
      <c r="L58" s="350"/>
      <c r="M58" s="351"/>
      <c r="N58" s="258"/>
      <c r="O58" s="258"/>
    </row>
    <row r="59" spans="1:15" ht="14.15" customHeight="1" x14ac:dyDescent="0.3">
      <c r="A59" s="341" t="s">
        <v>137</v>
      </c>
      <c r="B59" s="385" t="s">
        <v>138</v>
      </c>
      <c r="C59" s="248" t="s">
        <v>108</v>
      </c>
      <c r="D59" s="1">
        <v>20</v>
      </c>
      <c r="E59" s="36">
        <f>35</f>
        <v>35</v>
      </c>
      <c r="F59" s="41">
        <v>0.2</v>
      </c>
      <c r="G59" s="348">
        <f>E59/(1-F59)</f>
        <v>43.75</v>
      </c>
      <c r="H59" s="348">
        <f>(65*3)</f>
        <v>195</v>
      </c>
      <c r="I59" s="83">
        <v>0.15</v>
      </c>
      <c r="J59" s="79">
        <f>H59*(1+I59)</f>
        <v>224.24999999999997</v>
      </c>
      <c r="K59" s="349">
        <f>J59*D59</f>
        <v>4484.9999999999991</v>
      </c>
      <c r="L59" s="350">
        <f>G59+J59</f>
        <v>268</v>
      </c>
      <c r="M59" s="351">
        <f>D59*L59</f>
        <v>5360</v>
      </c>
      <c r="N59" s="258"/>
      <c r="O59" s="258"/>
    </row>
    <row r="60" spans="1:15" ht="14.15" customHeight="1" x14ac:dyDescent="0.3">
      <c r="A60" s="341"/>
      <c r="B60" s="387"/>
      <c r="C60" s="29"/>
      <c r="D60" s="1"/>
      <c r="E60" s="36"/>
      <c r="F60" s="41"/>
      <c r="G60" s="348"/>
      <c r="H60" s="348"/>
      <c r="I60" s="79"/>
      <c r="J60" s="79"/>
      <c r="K60" s="349"/>
      <c r="L60" s="350"/>
      <c r="M60" s="351"/>
      <c r="N60" s="258"/>
      <c r="O60" s="258"/>
    </row>
    <row r="61" spans="1:15" ht="14.5" customHeight="1" thickBot="1" x14ac:dyDescent="0.35">
      <c r="A61" s="341" t="s">
        <v>139</v>
      </c>
      <c r="B61" s="385" t="s">
        <v>140</v>
      </c>
      <c r="C61" s="30" t="s">
        <v>42</v>
      </c>
      <c r="D61" s="1">
        <v>1</v>
      </c>
      <c r="E61" s="36">
        <v>1</v>
      </c>
      <c r="F61" s="41">
        <v>0.2</v>
      </c>
      <c r="G61" s="348">
        <f>E61/(1-F61)</f>
        <v>1.25</v>
      </c>
      <c r="H61" s="348">
        <f>2500*3</f>
        <v>7500</v>
      </c>
      <c r="I61" s="83">
        <v>0.15</v>
      </c>
      <c r="J61" s="79">
        <f>H61*(1+I61)</f>
        <v>8625</v>
      </c>
      <c r="K61" s="349">
        <f>J61*D61</f>
        <v>8625</v>
      </c>
      <c r="L61" s="350">
        <f>G61+J61</f>
        <v>8626.25</v>
      </c>
      <c r="M61" s="351">
        <f>D61*L61</f>
        <v>8626.25</v>
      </c>
      <c r="N61" s="258"/>
      <c r="O61" s="258"/>
    </row>
    <row r="62" spans="1:15" ht="14.5" customHeight="1" thickBot="1" x14ac:dyDescent="0.35">
      <c r="A62" s="354"/>
      <c r="B62" s="441"/>
      <c r="C62" s="71"/>
      <c r="D62" s="72"/>
      <c r="E62" s="73"/>
      <c r="F62" s="74"/>
      <c r="G62" s="356"/>
      <c r="H62" s="356"/>
      <c r="I62" s="73"/>
      <c r="J62" s="73"/>
      <c r="K62" s="357"/>
      <c r="L62" s="358"/>
      <c r="M62" s="358"/>
      <c r="N62" s="258"/>
      <c r="O62" s="258"/>
    </row>
    <row r="63" spans="1:15" ht="14.15" customHeight="1" x14ac:dyDescent="0.3">
      <c r="A63" s="389">
        <v>2.1</v>
      </c>
      <c r="B63" s="390"/>
      <c r="C63" s="251"/>
      <c r="D63" s="65" t="s">
        <v>141</v>
      </c>
      <c r="E63" s="53"/>
      <c r="F63" s="54"/>
      <c r="G63" s="391"/>
      <c r="H63" s="391"/>
      <c r="I63" s="53"/>
      <c r="J63" s="53"/>
      <c r="K63" s="392"/>
      <c r="L63" s="393"/>
      <c r="M63" s="393"/>
      <c r="N63" s="258"/>
      <c r="O63" s="258"/>
    </row>
    <row r="64" spans="1:15" ht="28" customHeight="1" x14ac:dyDescent="0.3">
      <c r="A64" s="370" t="s">
        <v>142</v>
      </c>
      <c r="B64" s="444" t="s">
        <v>143</v>
      </c>
      <c r="C64" s="7" t="s">
        <v>85</v>
      </c>
      <c r="D64" s="7">
        <v>2</v>
      </c>
      <c r="E64" s="37">
        <v>10000</v>
      </c>
      <c r="F64" s="41">
        <v>0.16</v>
      </c>
      <c r="G64" s="348">
        <f>E64/(1-F64)</f>
        <v>11904.761904761905</v>
      </c>
      <c r="H64" s="371">
        <v>200</v>
      </c>
      <c r="I64" s="83">
        <v>0.15</v>
      </c>
      <c r="J64" s="79">
        <f>H64*(1+I64)</f>
        <v>229.99999999999997</v>
      </c>
      <c r="K64" s="349">
        <f>J64*D64</f>
        <v>459.99999999999994</v>
      </c>
      <c r="L64" s="350">
        <f>G64+J64</f>
        <v>12134.761904761905</v>
      </c>
      <c r="M64" s="351">
        <f>D64*L64</f>
        <v>24269.523809523809</v>
      </c>
      <c r="N64" s="258"/>
      <c r="O64" s="258"/>
    </row>
    <row r="65" spans="1:15" ht="14.15" customHeight="1" x14ac:dyDescent="0.3">
      <c r="A65" s="394"/>
      <c r="B65" s="395"/>
      <c r="C65" s="30"/>
      <c r="D65" s="248"/>
      <c r="E65" s="36"/>
      <c r="F65" s="41"/>
      <c r="G65" s="348"/>
      <c r="H65" s="348"/>
      <c r="I65" s="79"/>
      <c r="J65" s="79"/>
      <c r="K65" s="349"/>
      <c r="L65" s="350"/>
      <c r="M65" s="351"/>
      <c r="N65" s="258"/>
      <c r="O65" s="258"/>
    </row>
    <row r="66" spans="1:15" ht="28.5" customHeight="1" thickBot="1" x14ac:dyDescent="0.35">
      <c r="A66" s="396" t="s">
        <v>144</v>
      </c>
      <c r="B66" s="446" t="s">
        <v>145</v>
      </c>
      <c r="C66" s="68" t="s">
        <v>85</v>
      </c>
      <c r="D66" s="68">
        <v>0</v>
      </c>
      <c r="E66" s="69">
        <v>7500</v>
      </c>
      <c r="F66" s="52">
        <v>0.16</v>
      </c>
      <c r="G66" s="376">
        <f>E66/(1-F66)</f>
        <v>8928.5714285714294</v>
      </c>
      <c r="H66" s="377">
        <v>200</v>
      </c>
      <c r="I66" s="83">
        <v>0.15</v>
      </c>
      <c r="J66" s="79">
        <f>H66*(1+I66)</f>
        <v>229.99999999999997</v>
      </c>
      <c r="K66" s="382">
        <f>J66*D66</f>
        <v>0</v>
      </c>
      <c r="L66" s="350">
        <f>G66+J66</f>
        <v>9158.5714285714294</v>
      </c>
      <c r="M66" s="378">
        <f>D66*L66</f>
        <v>0</v>
      </c>
      <c r="N66" s="258"/>
      <c r="O66" s="258"/>
    </row>
    <row r="67" spans="1:15" ht="14.5" customHeight="1" thickBot="1" x14ac:dyDescent="0.35">
      <c r="A67" s="397"/>
      <c r="B67" s="449"/>
      <c r="C67" s="71"/>
      <c r="D67" s="72"/>
      <c r="E67" s="73"/>
      <c r="F67" s="74"/>
      <c r="G67" s="356"/>
      <c r="H67" s="356"/>
      <c r="I67" s="73"/>
      <c r="J67" s="73"/>
      <c r="K67" s="357"/>
      <c r="L67" s="358"/>
      <c r="M67" s="358"/>
      <c r="N67" s="258"/>
      <c r="O67" s="258"/>
    </row>
    <row r="68" spans="1:15" ht="14.15" customHeight="1" x14ac:dyDescent="0.3">
      <c r="A68" s="359">
        <v>2.11</v>
      </c>
      <c r="B68" s="450"/>
      <c r="C68" s="75"/>
      <c r="D68" s="58" t="s">
        <v>146</v>
      </c>
      <c r="E68" s="56"/>
      <c r="F68" s="57"/>
      <c r="G68" s="361"/>
      <c r="H68" s="361"/>
      <c r="I68" s="56"/>
      <c r="J68" s="56"/>
      <c r="K68" s="362"/>
      <c r="L68" s="363"/>
      <c r="M68" s="363"/>
      <c r="N68" s="258"/>
      <c r="O68" s="258"/>
    </row>
    <row r="69" spans="1:15" ht="14.15" customHeight="1" x14ac:dyDescent="0.3">
      <c r="A69" s="341"/>
      <c r="B69" s="444"/>
      <c r="C69" s="70"/>
      <c r="D69" s="1"/>
      <c r="E69" s="36"/>
      <c r="F69" s="41"/>
      <c r="G69" s="348"/>
      <c r="H69" s="348"/>
      <c r="I69" s="79"/>
      <c r="J69" s="79"/>
      <c r="K69" s="349"/>
      <c r="L69" s="350"/>
      <c r="M69" s="351"/>
      <c r="N69" s="258"/>
      <c r="O69" s="258"/>
    </row>
    <row r="70" spans="1:15" ht="14.15" customHeight="1" x14ac:dyDescent="0.3">
      <c r="A70" s="341"/>
      <c r="B70" s="443" t="s">
        <v>147</v>
      </c>
      <c r="C70" s="27"/>
      <c r="D70" s="1"/>
      <c r="E70" s="36"/>
      <c r="F70" s="41"/>
      <c r="G70" s="348"/>
      <c r="H70" s="348"/>
      <c r="I70" s="79"/>
      <c r="J70" s="79"/>
      <c r="K70" s="349"/>
      <c r="L70" s="350"/>
      <c r="M70" s="351"/>
      <c r="N70" s="258"/>
      <c r="O70" s="258"/>
    </row>
    <row r="71" spans="1:15" ht="14.15" customHeight="1" x14ac:dyDescent="0.3">
      <c r="A71" s="341"/>
      <c r="B71" s="448"/>
      <c r="C71" s="27"/>
      <c r="D71" s="1"/>
      <c r="E71" s="36"/>
      <c r="F71" s="41"/>
      <c r="G71" s="348"/>
      <c r="H71" s="348"/>
      <c r="I71" s="79"/>
      <c r="J71" s="79"/>
      <c r="K71" s="349"/>
      <c r="L71" s="350"/>
      <c r="M71" s="351"/>
      <c r="N71" s="258"/>
      <c r="O71" s="258"/>
    </row>
    <row r="72" spans="1:15" ht="42" customHeight="1" x14ac:dyDescent="0.3">
      <c r="A72" s="341"/>
      <c r="B72" s="448" t="s">
        <v>148</v>
      </c>
      <c r="C72" s="27"/>
      <c r="D72" s="248"/>
      <c r="E72" s="36"/>
      <c r="F72" s="41"/>
      <c r="G72" s="348"/>
      <c r="H72" s="348"/>
      <c r="I72" s="79"/>
      <c r="J72" s="79"/>
      <c r="K72" s="349"/>
      <c r="L72" s="350"/>
      <c r="M72" s="351"/>
      <c r="N72" s="258"/>
      <c r="O72" s="258"/>
    </row>
    <row r="73" spans="1:15" ht="14.15" customHeight="1" x14ac:dyDescent="0.3">
      <c r="A73" s="384"/>
      <c r="B73" s="443"/>
      <c r="C73" s="27"/>
      <c r="D73" s="28"/>
      <c r="E73" s="38"/>
      <c r="F73" s="41"/>
      <c r="G73" s="348"/>
      <c r="H73" s="400"/>
      <c r="I73" s="81"/>
      <c r="J73" s="81"/>
      <c r="K73" s="349"/>
      <c r="L73" s="350"/>
      <c r="M73" s="351"/>
      <c r="N73" s="258"/>
      <c r="O73" s="258"/>
    </row>
    <row r="74" spans="1:15" ht="14.15" customHeight="1" x14ac:dyDescent="0.3">
      <c r="A74" s="341" t="s">
        <v>149</v>
      </c>
      <c r="B74" s="443" t="s">
        <v>150</v>
      </c>
      <c r="C74" s="27" t="s">
        <v>108</v>
      </c>
      <c r="D74" s="1">
        <v>0</v>
      </c>
      <c r="E74" s="36">
        <v>947.75</v>
      </c>
      <c r="F74" s="41">
        <v>0.25</v>
      </c>
      <c r="G74" s="348">
        <f t="shared" ref="G74:G79" si="0">E74/(1-F74)</f>
        <v>1263.6666666666667</v>
      </c>
      <c r="H74" s="348">
        <v>25</v>
      </c>
      <c r="I74" s="83">
        <v>0.15</v>
      </c>
      <c r="J74" s="79">
        <f t="shared" ref="J74:J79" si="1">H74*(1+I74)</f>
        <v>28.749999999999996</v>
      </c>
      <c r="K74" s="349">
        <f t="shared" ref="K74:K79" si="2">J74*D74</f>
        <v>0</v>
      </c>
      <c r="L74" s="350">
        <f t="shared" ref="L74:L79" si="3">G74+J74</f>
        <v>1292.4166666666667</v>
      </c>
      <c r="M74" s="351">
        <f t="shared" ref="M74:M79" si="4">D74*L74</f>
        <v>0</v>
      </c>
      <c r="N74" s="258"/>
      <c r="O74" s="258"/>
    </row>
    <row r="75" spans="1:15" ht="14.15" customHeight="1" x14ac:dyDescent="0.3">
      <c r="A75" s="341" t="s">
        <v>151</v>
      </c>
      <c r="B75" s="443" t="s">
        <v>152</v>
      </c>
      <c r="C75" s="27" t="s">
        <v>108</v>
      </c>
      <c r="D75" s="1">
        <f>4 + N("2m per 2 DB's with 50m2 incomers")</f>
        <v>4</v>
      </c>
      <c r="E75" s="36">
        <v>686.12</v>
      </c>
      <c r="F75" s="41">
        <v>0.25</v>
      </c>
      <c r="G75" s="348">
        <f t="shared" si="0"/>
        <v>914.82666666666671</v>
      </c>
      <c r="H75" s="348">
        <v>25</v>
      </c>
      <c r="I75" s="83">
        <v>0.15</v>
      </c>
      <c r="J75" s="79">
        <f t="shared" si="1"/>
        <v>28.749999999999996</v>
      </c>
      <c r="K75" s="349">
        <f t="shared" si="2"/>
        <v>114.99999999999999</v>
      </c>
      <c r="L75" s="350">
        <f t="shared" si="3"/>
        <v>943.57666666666671</v>
      </c>
      <c r="M75" s="351">
        <f t="shared" si="4"/>
        <v>3774.3066666666668</v>
      </c>
      <c r="N75" s="258"/>
      <c r="O75" s="258"/>
    </row>
    <row r="76" spans="1:15" ht="14.15" customHeight="1" x14ac:dyDescent="0.3">
      <c r="A76" s="341" t="s">
        <v>153</v>
      </c>
      <c r="B76" s="443" t="s">
        <v>154</v>
      </c>
      <c r="C76" s="27" t="s">
        <v>108</v>
      </c>
      <c r="D76" s="1">
        <v>0</v>
      </c>
      <c r="E76" s="36">
        <v>538.9</v>
      </c>
      <c r="F76" s="41">
        <v>0.25</v>
      </c>
      <c r="G76" s="348">
        <f t="shared" si="0"/>
        <v>718.5333333333333</v>
      </c>
      <c r="H76" s="348">
        <v>25</v>
      </c>
      <c r="I76" s="83">
        <v>0.15</v>
      </c>
      <c r="J76" s="79">
        <f t="shared" si="1"/>
        <v>28.749999999999996</v>
      </c>
      <c r="K76" s="349">
        <f t="shared" si="2"/>
        <v>0</v>
      </c>
      <c r="L76" s="350">
        <f t="shared" si="3"/>
        <v>747.2833333333333</v>
      </c>
      <c r="M76" s="351">
        <f t="shared" si="4"/>
        <v>0</v>
      </c>
      <c r="N76" s="258"/>
      <c r="O76" s="258"/>
    </row>
    <row r="77" spans="1:15" ht="14.15" customHeight="1" x14ac:dyDescent="0.3">
      <c r="A77" s="341" t="s">
        <v>155</v>
      </c>
      <c r="B77" s="443" t="s">
        <v>156</v>
      </c>
      <c r="C77" s="29" t="s">
        <v>108</v>
      </c>
      <c r="D77" s="1">
        <v>0</v>
      </c>
      <c r="E77" s="36">
        <v>450</v>
      </c>
      <c r="F77" s="41">
        <v>0.25</v>
      </c>
      <c r="G77" s="348">
        <f t="shared" si="0"/>
        <v>600</v>
      </c>
      <c r="H77" s="348">
        <v>25</v>
      </c>
      <c r="I77" s="83">
        <v>0.15</v>
      </c>
      <c r="J77" s="79">
        <f t="shared" si="1"/>
        <v>28.749999999999996</v>
      </c>
      <c r="K77" s="349">
        <f t="shared" si="2"/>
        <v>0</v>
      </c>
      <c r="L77" s="350">
        <f t="shared" si="3"/>
        <v>628.75</v>
      </c>
      <c r="M77" s="351">
        <f t="shared" si="4"/>
        <v>0</v>
      </c>
      <c r="N77" s="258"/>
      <c r="O77" s="258"/>
    </row>
    <row r="78" spans="1:15" ht="14.15" customHeight="1" x14ac:dyDescent="0.3">
      <c r="A78" s="341" t="s">
        <v>157</v>
      </c>
      <c r="B78" s="443" t="s">
        <v>158</v>
      </c>
      <c r="C78" s="29" t="s">
        <v>108</v>
      </c>
      <c r="D78" s="1">
        <v>6</v>
      </c>
      <c r="E78" s="36">
        <v>380</v>
      </c>
      <c r="F78" s="41">
        <v>0.25</v>
      </c>
      <c r="G78" s="348">
        <f t="shared" si="0"/>
        <v>506.66666666666669</v>
      </c>
      <c r="H78" s="348">
        <v>25</v>
      </c>
      <c r="I78" s="83">
        <v>0.15</v>
      </c>
      <c r="J78" s="79">
        <f t="shared" si="1"/>
        <v>28.749999999999996</v>
      </c>
      <c r="K78" s="349">
        <f t="shared" si="2"/>
        <v>172.49999999999997</v>
      </c>
      <c r="L78" s="350">
        <f t="shared" si="3"/>
        <v>535.41666666666663</v>
      </c>
      <c r="M78" s="351">
        <f t="shared" si="4"/>
        <v>3212.5</v>
      </c>
      <c r="N78" s="258"/>
      <c r="O78" s="258"/>
    </row>
    <row r="79" spans="1:15" ht="14.5" customHeight="1" thickBot="1" x14ac:dyDescent="0.35">
      <c r="A79" s="381" t="s">
        <v>159</v>
      </c>
      <c r="B79" s="446" t="s">
        <v>160</v>
      </c>
      <c r="C79" s="76" t="s">
        <v>108</v>
      </c>
      <c r="D79" s="50">
        <v>0</v>
      </c>
      <c r="E79" s="51">
        <f>215</f>
        <v>215</v>
      </c>
      <c r="F79" s="52">
        <v>0.25</v>
      </c>
      <c r="G79" s="376">
        <f t="shared" si="0"/>
        <v>286.66666666666669</v>
      </c>
      <c r="H79" s="376">
        <v>25</v>
      </c>
      <c r="I79" s="83">
        <v>0.15</v>
      </c>
      <c r="J79" s="79">
        <f t="shared" si="1"/>
        <v>28.749999999999996</v>
      </c>
      <c r="K79" s="349">
        <f t="shared" si="2"/>
        <v>0</v>
      </c>
      <c r="L79" s="350">
        <f t="shared" si="3"/>
        <v>315.41666666666669</v>
      </c>
      <c r="M79" s="378">
        <f t="shared" si="4"/>
        <v>0</v>
      </c>
      <c r="N79" s="258"/>
      <c r="O79" s="258"/>
    </row>
    <row r="80" spans="1:15" ht="14.5" customHeight="1" thickBot="1" x14ac:dyDescent="0.35">
      <c r="A80" s="397"/>
      <c r="B80" s="449"/>
      <c r="C80" s="71"/>
      <c r="D80" s="72"/>
      <c r="E80" s="73"/>
      <c r="F80" s="74"/>
      <c r="G80" s="356"/>
      <c r="H80" s="356"/>
      <c r="I80" s="73"/>
      <c r="J80" s="73"/>
      <c r="K80" s="357"/>
      <c r="L80" s="358"/>
      <c r="M80" s="358"/>
      <c r="N80" s="258"/>
      <c r="O80" s="258"/>
    </row>
    <row r="81" spans="1:15" ht="14.15" customHeight="1" x14ac:dyDescent="0.3">
      <c r="A81" s="359">
        <v>2.12</v>
      </c>
      <c r="B81" s="450"/>
      <c r="C81" s="75"/>
      <c r="D81" s="58" t="s">
        <v>161</v>
      </c>
      <c r="E81" s="56"/>
      <c r="F81" s="57"/>
      <c r="G81" s="361"/>
      <c r="H81" s="361"/>
      <c r="I81" s="56"/>
      <c r="J81" s="56"/>
      <c r="K81" s="362"/>
      <c r="L81" s="363"/>
      <c r="M81" s="363"/>
      <c r="N81" s="258"/>
      <c r="O81" s="258"/>
    </row>
    <row r="82" spans="1:15" ht="14.15" customHeight="1" x14ac:dyDescent="0.3">
      <c r="A82" s="341"/>
      <c r="B82" s="444"/>
      <c r="C82" s="29"/>
      <c r="D82" s="1"/>
      <c r="E82" s="36"/>
      <c r="F82" s="41"/>
      <c r="G82" s="348"/>
      <c r="H82" s="348"/>
      <c r="I82" s="79"/>
      <c r="J82" s="79"/>
      <c r="K82" s="349"/>
      <c r="L82" s="350"/>
      <c r="M82" s="351"/>
      <c r="N82" s="258"/>
      <c r="O82" s="258"/>
    </row>
    <row r="83" spans="1:15" ht="14.15" customHeight="1" x14ac:dyDescent="0.3">
      <c r="A83" s="341" t="s">
        <v>162</v>
      </c>
      <c r="B83" s="443" t="s">
        <v>163</v>
      </c>
      <c r="C83" s="29" t="s">
        <v>108</v>
      </c>
      <c r="D83" s="1">
        <v>0</v>
      </c>
      <c r="E83" s="36">
        <v>109.45</v>
      </c>
      <c r="F83" s="41">
        <v>0.2</v>
      </c>
      <c r="G83" s="348">
        <f>E83/(1-F83)</f>
        <v>136.8125</v>
      </c>
      <c r="H83" s="348">
        <v>50</v>
      </c>
      <c r="I83" s="83">
        <v>0.15</v>
      </c>
      <c r="J83" s="79">
        <f>H83*(1+I83)</f>
        <v>57.499999999999993</v>
      </c>
      <c r="K83" s="349">
        <f>J83*D83</f>
        <v>0</v>
      </c>
      <c r="L83" s="350">
        <f>G83+J83</f>
        <v>194.3125</v>
      </c>
      <c r="M83" s="351">
        <f>D83*L83</f>
        <v>0</v>
      </c>
      <c r="N83" s="258"/>
      <c r="O83" s="258"/>
    </row>
    <row r="84" spans="1:15" ht="14.15" customHeight="1" x14ac:dyDescent="0.3">
      <c r="A84" s="341"/>
      <c r="B84" s="443" t="s">
        <v>164</v>
      </c>
      <c r="C84" s="29" t="s">
        <v>108</v>
      </c>
      <c r="D84" s="1">
        <v>0</v>
      </c>
      <c r="E84" s="36">
        <v>70.599999999999994</v>
      </c>
      <c r="F84" s="41">
        <v>0.2</v>
      </c>
      <c r="G84" s="348">
        <f>E84/(1-F84)</f>
        <v>88.249999999999986</v>
      </c>
      <c r="H84" s="348">
        <v>50</v>
      </c>
      <c r="I84" s="83">
        <v>0.15</v>
      </c>
      <c r="J84" s="79">
        <f>H84*(1+I84)</f>
        <v>57.499999999999993</v>
      </c>
      <c r="K84" s="349">
        <f>J84*D84</f>
        <v>0</v>
      </c>
      <c r="L84" s="350">
        <f>G84+J84</f>
        <v>145.74999999999997</v>
      </c>
      <c r="M84" s="351">
        <f>D84*L84</f>
        <v>0</v>
      </c>
      <c r="N84" s="258"/>
      <c r="O84" s="258"/>
    </row>
    <row r="85" spans="1:15" ht="14.5" customHeight="1" thickBot="1" x14ac:dyDescent="0.35">
      <c r="A85" s="381"/>
      <c r="B85" s="446" t="s">
        <v>165</v>
      </c>
      <c r="C85" s="76" t="s">
        <v>108</v>
      </c>
      <c r="D85" s="50">
        <f>20 + N("5m per cable")</f>
        <v>20</v>
      </c>
      <c r="E85" s="51">
        <v>22.91</v>
      </c>
      <c r="F85" s="52">
        <v>0.2</v>
      </c>
      <c r="G85" s="376">
        <f>E85/(1-F85)</f>
        <v>28.637499999999999</v>
      </c>
      <c r="H85" s="376">
        <v>50</v>
      </c>
      <c r="I85" s="83">
        <v>0.15</v>
      </c>
      <c r="J85" s="79">
        <f>H85*(1+I85)</f>
        <v>57.499999999999993</v>
      </c>
      <c r="K85" s="349">
        <f>J85*D85</f>
        <v>1149.9999999999998</v>
      </c>
      <c r="L85" s="350">
        <f>G85+J85</f>
        <v>86.137499999999989</v>
      </c>
      <c r="M85" s="378">
        <f>D85*L85</f>
        <v>1722.7499999999998</v>
      </c>
      <c r="N85" s="258"/>
      <c r="O85" s="258"/>
    </row>
    <row r="86" spans="1:15" ht="14.5" customHeight="1" thickBot="1" x14ac:dyDescent="0.35">
      <c r="A86" s="397"/>
      <c r="B86" s="449"/>
      <c r="C86" s="71"/>
      <c r="D86" s="72"/>
      <c r="E86" s="73"/>
      <c r="F86" s="74"/>
      <c r="G86" s="356"/>
      <c r="H86" s="356"/>
      <c r="I86" s="73"/>
      <c r="J86" s="73"/>
      <c r="K86" s="357"/>
      <c r="L86" s="358"/>
      <c r="M86" s="358"/>
      <c r="N86" s="258"/>
      <c r="O86" s="258"/>
    </row>
    <row r="87" spans="1:15" ht="14.15" customHeight="1" x14ac:dyDescent="0.3">
      <c r="A87" s="359">
        <v>2.13</v>
      </c>
      <c r="B87" s="450"/>
      <c r="C87" s="75"/>
      <c r="D87" s="58" t="s">
        <v>166</v>
      </c>
      <c r="E87" s="56"/>
      <c r="F87" s="57"/>
      <c r="G87" s="361"/>
      <c r="H87" s="361"/>
      <c r="I87" s="56"/>
      <c r="J87" s="56"/>
      <c r="K87" s="362"/>
      <c r="L87" s="363"/>
      <c r="M87" s="363"/>
      <c r="N87" s="258"/>
      <c r="O87" s="258"/>
    </row>
    <row r="88" spans="1:15" ht="14.15" customHeight="1" x14ac:dyDescent="0.3">
      <c r="A88" s="341"/>
      <c r="B88" s="444"/>
      <c r="C88" s="29"/>
      <c r="D88" s="1"/>
      <c r="E88" s="36"/>
      <c r="F88" s="41"/>
      <c r="G88" s="348"/>
      <c r="H88" s="348"/>
      <c r="I88" s="79"/>
      <c r="J88" s="79"/>
      <c r="K88" s="349"/>
      <c r="L88" s="350"/>
      <c r="M88" s="351"/>
      <c r="N88" s="258"/>
      <c r="O88" s="258"/>
    </row>
    <row r="89" spans="1:15" ht="14.15" customHeight="1" x14ac:dyDescent="0.3">
      <c r="A89" s="341" t="s">
        <v>167</v>
      </c>
      <c r="B89" s="443" t="s">
        <v>168</v>
      </c>
      <c r="C89" s="29" t="s">
        <v>108</v>
      </c>
      <c r="D89" s="1">
        <v>0</v>
      </c>
      <c r="E89" s="36">
        <v>25</v>
      </c>
      <c r="F89" s="41">
        <v>0.2</v>
      </c>
      <c r="G89" s="348">
        <f>E89/(1-F89)</f>
        <v>31.25</v>
      </c>
      <c r="H89" s="348"/>
      <c r="I89" s="83">
        <v>0.15</v>
      </c>
      <c r="J89" s="79">
        <f>H89*(1+I89)</f>
        <v>0</v>
      </c>
      <c r="K89" s="349">
        <f>J89*D89</f>
        <v>0</v>
      </c>
      <c r="L89" s="350">
        <f>G89+J89</f>
        <v>31.25</v>
      </c>
      <c r="M89" s="351">
        <f>D89*L89</f>
        <v>0</v>
      </c>
      <c r="N89" s="258"/>
      <c r="O89" s="258"/>
    </row>
    <row r="90" spans="1:15" ht="14.15" customHeight="1" x14ac:dyDescent="0.3">
      <c r="A90" s="341" t="s">
        <v>169</v>
      </c>
      <c r="B90" s="443" t="s">
        <v>170</v>
      </c>
      <c r="C90" s="29" t="s">
        <v>108</v>
      </c>
      <c r="D90" s="1">
        <v>0</v>
      </c>
      <c r="E90" s="36">
        <v>33</v>
      </c>
      <c r="F90" s="41">
        <v>0.2</v>
      </c>
      <c r="G90" s="348">
        <f>E90/(1-F90)</f>
        <v>41.25</v>
      </c>
      <c r="H90" s="348"/>
      <c r="I90" s="83">
        <v>0.15</v>
      </c>
      <c r="J90" s="79">
        <f>H90*(1+I90)</f>
        <v>0</v>
      </c>
      <c r="K90" s="349">
        <f>J90*D90</f>
        <v>0</v>
      </c>
      <c r="L90" s="350">
        <f>G90+J90</f>
        <v>41.25</v>
      </c>
      <c r="M90" s="351">
        <f>D90*L90</f>
        <v>0</v>
      </c>
      <c r="N90" s="258"/>
      <c r="O90" s="258"/>
    </row>
    <row r="91" spans="1:15" ht="14.5" customHeight="1" thickBot="1" x14ac:dyDescent="0.35">
      <c r="A91" s="341" t="s">
        <v>171</v>
      </c>
      <c r="B91" s="451" t="s">
        <v>172</v>
      </c>
      <c r="C91" s="29" t="s">
        <v>108</v>
      </c>
      <c r="D91" s="1">
        <v>0</v>
      </c>
      <c r="E91" s="36">
        <v>37</v>
      </c>
      <c r="F91" s="41">
        <v>0.2</v>
      </c>
      <c r="G91" s="348">
        <f>E91/(1-F91)</f>
        <v>46.25</v>
      </c>
      <c r="H91" s="348"/>
      <c r="I91" s="83">
        <v>0.15</v>
      </c>
      <c r="J91" s="79">
        <f>H91*(1+I91)</f>
        <v>0</v>
      </c>
      <c r="K91" s="349">
        <f>J91*D91</f>
        <v>0</v>
      </c>
      <c r="L91" s="350">
        <f>G91+J91</f>
        <v>46.25</v>
      </c>
      <c r="M91" s="351">
        <f>D91*L91</f>
        <v>0</v>
      </c>
      <c r="N91" s="258"/>
      <c r="O91" s="258"/>
    </row>
    <row r="92" spans="1:15" ht="14.5" customHeight="1" thickBot="1" x14ac:dyDescent="0.35">
      <c r="A92" s="397"/>
      <c r="B92" s="449"/>
      <c r="C92" s="71"/>
      <c r="D92" s="72"/>
      <c r="E92" s="73"/>
      <c r="F92" s="74"/>
      <c r="G92" s="356"/>
      <c r="H92" s="356"/>
      <c r="I92" s="73"/>
      <c r="J92" s="73"/>
      <c r="K92" s="357"/>
      <c r="L92" s="358"/>
      <c r="M92" s="358"/>
      <c r="N92" s="258"/>
      <c r="O92" s="258"/>
    </row>
    <row r="93" spans="1:15" s="297" customFormat="1" ht="14.15" customHeight="1" x14ac:dyDescent="0.3">
      <c r="A93" s="402">
        <v>2.14</v>
      </c>
      <c r="B93" s="452"/>
      <c r="C93" s="78"/>
      <c r="D93" s="65" t="s">
        <v>173</v>
      </c>
      <c r="E93" s="53"/>
      <c r="F93" s="54"/>
      <c r="G93" s="391"/>
      <c r="H93" s="391"/>
      <c r="I93" s="53"/>
      <c r="J93" s="53"/>
      <c r="K93" s="392"/>
      <c r="L93" s="393"/>
      <c r="M93" s="393"/>
      <c r="N93" s="258"/>
      <c r="O93" s="258"/>
    </row>
    <row r="94" spans="1:15" s="297" customFormat="1" ht="14.15" customHeight="1" x14ac:dyDescent="0.3">
      <c r="A94" s="341"/>
      <c r="B94" s="444"/>
      <c r="C94" s="29"/>
      <c r="D94" s="1"/>
      <c r="E94" s="36"/>
      <c r="F94" s="41"/>
      <c r="G94" s="348"/>
      <c r="H94" s="348"/>
      <c r="I94" s="79"/>
      <c r="J94" s="79"/>
      <c r="K94" s="349"/>
      <c r="L94" s="350"/>
      <c r="M94" s="351"/>
      <c r="N94" s="258"/>
      <c r="O94" s="258"/>
    </row>
    <row r="95" spans="1:15" s="297" customFormat="1" ht="28" customHeight="1" x14ac:dyDescent="0.3">
      <c r="A95" s="341"/>
      <c r="B95" s="443" t="s">
        <v>174</v>
      </c>
      <c r="C95" s="29"/>
      <c r="D95" s="1"/>
      <c r="E95" s="36"/>
      <c r="F95" s="41"/>
      <c r="G95" s="348"/>
      <c r="H95" s="348"/>
      <c r="I95" s="79"/>
      <c r="J95" s="79"/>
      <c r="K95" s="349"/>
      <c r="L95" s="350"/>
      <c r="M95" s="351"/>
      <c r="N95" s="258"/>
      <c r="O95" s="258"/>
    </row>
    <row r="96" spans="1:15" s="297" customFormat="1" ht="14.15" customHeight="1" x14ac:dyDescent="0.3">
      <c r="A96" s="384"/>
      <c r="B96" s="443"/>
      <c r="C96" s="29"/>
      <c r="D96" s="1"/>
      <c r="E96" s="36"/>
      <c r="F96" s="41"/>
      <c r="G96" s="348"/>
      <c r="H96" s="348"/>
      <c r="I96" s="79"/>
      <c r="J96" s="79"/>
      <c r="K96" s="349"/>
      <c r="L96" s="350"/>
      <c r="M96" s="351"/>
      <c r="N96" s="258"/>
      <c r="O96" s="258"/>
    </row>
    <row r="97" spans="1:15" s="297" customFormat="1" ht="14.15" customHeight="1" x14ac:dyDescent="0.3">
      <c r="A97" s="341" t="s">
        <v>175</v>
      </c>
      <c r="B97" s="443" t="s">
        <v>150</v>
      </c>
      <c r="C97" s="29" t="s">
        <v>85</v>
      </c>
      <c r="D97" s="1">
        <v>0</v>
      </c>
      <c r="E97" s="36">
        <f>752.54*1.1</f>
        <v>827.79399999999998</v>
      </c>
      <c r="F97" s="41">
        <v>0.2</v>
      </c>
      <c r="G97" s="348">
        <f t="shared" ref="G97:G107" si="5">E97/(1-F97)</f>
        <v>1034.7424999999998</v>
      </c>
      <c r="H97" s="348">
        <f>(250+100)*1.5</f>
        <v>525</v>
      </c>
      <c r="I97" s="83">
        <v>0.15</v>
      </c>
      <c r="J97" s="79">
        <f t="shared" ref="J97:J107" si="6">H97*(1+I97)</f>
        <v>603.75</v>
      </c>
      <c r="K97" s="349">
        <f t="shared" ref="K97:K107" si="7">J97*D97</f>
        <v>0</v>
      </c>
      <c r="L97" s="350">
        <f t="shared" ref="L97:L107" si="8">G97+J97</f>
        <v>1638.4924999999998</v>
      </c>
      <c r="M97" s="351">
        <f t="shared" ref="M97:M107" si="9">D97*L97</f>
        <v>0</v>
      </c>
      <c r="N97" s="258"/>
      <c r="O97" s="258"/>
    </row>
    <row r="98" spans="1:15" s="297" customFormat="1" ht="14.15" customHeight="1" x14ac:dyDescent="0.3">
      <c r="A98" s="341" t="s">
        <v>176</v>
      </c>
      <c r="B98" s="443" t="s">
        <v>177</v>
      </c>
      <c r="C98" s="29" t="s">
        <v>85</v>
      </c>
      <c r="D98" s="1">
        <v>0</v>
      </c>
      <c r="E98" s="36">
        <f>350*1.1</f>
        <v>385.00000000000006</v>
      </c>
      <c r="F98" s="41">
        <v>0.2</v>
      </c>
      <c r="G98" s="348">
        <f t="shared" si="5"/>
        <v>481.25000000000006</v>
      </c>
      <c r="H98" s="348">
        <f>(250+100)*1.5</f>
        <v>525</v>
      </c>
      <c r="I98" s="83">
        <v>0.15</v>
      </c>
      <c r="J98" s="79">
        <f t="shared" si="6"/>
        <v>603.75</v>
      </c>
      <c r="K98" s="349">
        <f t="shared" si="7"/>
        <v>0</v>
      </c>
      <c r="L98" s="350">
        <f t="shared" si="8"/>
        <v>1085</v>
      </c>
      <c r="M98" s="351">
        <f t="shared" si="9"/>
        <v>0</v>
      </c>
      <c r="N98" s="258"/>
      <c r="O98" s="258"/>
    </row>
    <row r="99" spans="1:15" s="297" customFormat="1" ht="14.15" customHeight="1" x14ac:dyDescent="0.3">
      <c r="A99" s="341" t="s">
        <v>178</v>
      </c>
      <c r="B99" s="443" t="s">
        <v>152</v>
      </c>
      <c r="C99" s="29" t="s">
        <v>85</v>
      </c>
      <c r="D99" s="1">
        <v>4</v>
      </c>
      <c r="E99" s="36">
        <v>550</v>
      </c>
      <c r="F99" s="41">
        <v>0.2</v>
      </c>
      <c r="G99" s="348">
        <f t="shared" si="5"/>
        <v>687.5</v>
      </c>
      <c r="H99" s="348">
        <f>(250+100)*1.5</f>
        <v>525</v>
      </c>
      <c r="I99" s="83">
        <v>0.15</v>
      </c>
      <c r="J99" s="79">
        <f t="shared" si="6"/>
        <v>603.75</v>
      </c>
      <c r="K99" s="349">
        <f t="shared" si="7"/>
        <v>2415</v>
      </c>
      <c r="L99" s="350">
        <f t="shared" si="8"/>
        <v>1291.25</v>
      </c>
      <c r="M99" s="351">
        <f t="shared" si="9"/>
        <v>5165</v>
      </c>
      <c r="N99" s="258"/>
      <c r="O99" s="258"/>
    </row>
    <row r="100" spans="1:15" s="297" customFormat="1" ht="14.15" customHeight="1" x14ac:dyDescent="0.3">
      <c r="A100" s="341" t="s">
        <v>179</v>
      </c>
      <c r="B100" s="443" t="s">
        <v>154</v>
      </c>
      <c r="C100" s="29" t="s">
        <v>85</v>
      </c>
      <c r="D100" s="1">
        <v>0</v>
      </c>
      <c r="E100" s="36">
        <v>350</v>
      </c>
      <c r="F100" s="41">
        <v>0.2</v>
      </c>
      <c r="G100" s="348">
        <f t="shared" si="5"/>
        <v>437.5</v>
      </c>
      <c r="H100" s="348">
        <v>525</v>
      </c>
      <c r="I100" s="83">
        <v>0.15</v>
      </c>
      <c r="J100" s="79">
        <f t="shared" si="6"/>
        <v>603.75</v>
      </c>
      <c r="K100" s="349">
        <f t="shared" si="7"/>
        <v>0</v>
      </c>
      <c r="L100" s="350">
        <f t="shared" si="8"/>
        <v>1041.25</v>
      </c>
      <c r="M100" s="351">
        <f t="shared" si="9"/>
        <v>0</v>
      </c>
      <c r="N100" s="258"/>
      <c r="O100" s="258"/>
    </row>
    <row r="101" spans="1:15" s="297" customFormat="1" ht="14.5" customHeight="1" x14ac:dyDescent="0.3">
      <c r="A101" s="341" t="s">
        <v>180</v>
      </c>
      <c r="B101" s="443" t="s">
        <v>156</v>
      </c>
      <c r="C101" s="29" t="s">
        <v>85</v>
      </c>
      <c r="D101" s="1">
        <v>0</v>
      </c>
      <c r="E101" s="36"/>
      <c r="F101" s="41"/>
      <c r="G101" s="348">
        <f t="shared" si="5"/>
        <v>0</v>
      </c>
      <c r="H101" s="348">
        <v>525</v>
      </c>
      <c r="I101" s="83">
        <v>0.15</v>
      </c>
      <c r="J101" s="79">
        <f t="shared" si="6"/>
        <v>603.75</v>
      </c>
      <c r="K101" s="349">
        <f t="shared" si="7"/>
        <v>0</v>
      </c>
      <c r="L101" s="350">
        <f t="shared" si="8"/>
        <v>603.75</v>
      </c>
      <c r="M101" s="351">
        <f t="shared" si="9"/>
        <v>0</v>
      </c>
      <c r="N101" s="258"/>
      <c r="O101" s="258"/>
    </row>
    <row r="102" spans="1:15" s="297" customFormat="1" ht="14.15" customHeight="1" x14ac:dyDescent="0.3">
      <c r="A102" s="341" t="s">
        <v>181</v>
      </c>
      <c r="B102" s="443" t="s">
        <v>158</v>
      </c>
      <c r="C102" s="29" t="s">
        <v>85</v>
      </c>
      <c r="D102" s="1">
        <v>0</v>
      </c>
      <c r="E102" s="36">
        <v>350</v>
      </c>
      <c r="F102" s="41">
        <v>0.2</v>
      </c>
      <c r="G102" s="348">
        <f t="shared" si="5"/>
        <v>437.5</v>
      </c>
      <c r="H102" s="348">
        <v>525</v>
      </c>
      <c r="I102" s="83">
        <v>0.15</v>
      </c>
      <c r="J102" s="79">
        <f t="shared" si="6"/>
        <v>603.75</v>
      </c>
      <c r="K102" s="349">
        <f t="shared" si="7"/>
        <v>0</v>
      </c>
      <c r="L102" s="350">
        <f t="shared" si="8"/>
        <v>1041.25</v>
      </c>
      <c r="M102" s="351">
        <f t="shared" si="9"/>
        <v>0</v>
      </c>
      <c r="N102" s="258"/>
      <c r="O102" s="258"/>
    </row>
    <row r="103" spans="1:15" s="297" customFormat="1" ht="14.15" customHeight="1" x14ac:dyDescent="0.3">
      <c r="A103" s="341" t="s">
        <v>182</v>
      </c>
      <c r="B103" s="443" t="s">
        <v>160</v>
      </c>
      <c r="C103" s="29" t="s">
        <v>85</v>
      </c>
      <c r="D103" s="1">
        <v>0</v>
      </c>
      <c r="E103" s="36">
        <v>350</v>
      </c>
      <c r="F103" s="41">
        <v>0.2</v>
      </c>
      <c r="G103" s="348">
        <f t="shared" si="5"/>
        <v>437.5</v>
      </c>
      <c r="H103" s="348">
        <v>525</v>
      </c>
      <c r="I103" s="83">
        <v>0.15</v>
      </c>
      <c r="J103" s="79">
        <f t="shared" si="6"/>
        <v>603.75</v>
      </c>
      <c r="K103" s="349">
        <f t="shared" si="7"/>
        <v>0</v>
      </c>
      <c r="L103" s="350">
        <f t="shared" si="8"/>
        <v>1041.25</v>
      </c>
      <c r="M103" s="351">
        <f t="shared" si="9"/>
        <v>0</v>
      </c>
      <c r="N103" s="258"/>
      <c r="O103" s="258"/>
    </row>
    <row r="104" spans="1:15" s="297" customFormat="1" ht="14.15" customHeight="1" x14ac:dyDescent="0.3">
      <c r="A104" s="341" t="s">
        <v>183</v>
      </c>
      <c r="B104" s="443" t="s">
        <v>184</v>
      </c>
      <c r="C104" s="29" t="s">
        <v>85</v>
      </c>
      <c r="D104" s="1">
        <v>0</v>
      </c>
      <c r="E104" s="36"/>
      <c r="F104" s="41">
        <v>0.2</v>
      </c>
      <c r="G104" s="348">
        <f t="shared" si="5"/>
        <v>0</v>
      </c>
      <c r="H104" s="348">
        <v>525</v>
      </c>
      <c r="I104" s="83">
        <v>0.15</v>
      </c>
      <c r="J104" s="79">
        <f t="shared" si="6"/>
        <v>603.75</v>
      </c>
      <c r="K104" s="349">
        <f t="shared" si="7"/>
        <v>0</v>
      </c>
      <c r="L104" s="350">
        <f t="shared" si="8"/>
        <v>603.75</v>
      </c>
      <c r="M104" s="351">
        <f t="shared" si="9"/>
        <v>0</v>
      </c>
      <c r="N104" s="258"/>
      <c r="O104" s="258"/>
    </row>
    <row r="105" spans="1:15" s="297" customFormat="1" ht="14.15" customHeight="1" x14ac:dyDescent="0.3">
      <c r="A105" s="341" t="s">
        <v>185</v>
      </c>
      <c r="B105" s="443" t="s">
        <v>186</v>
      </c>
      <c r="C105" s="29" t="s">
        <v>85</v>
      </c>
      <c r="D105" s="1">
        <v>0</v>
      </c>
      <c r="E105" s="36">
        <v>250</v>
      </c>
      <c r="F105" s="41">
        <v>0.2</v>
      </c>
      <c r="G105" s="348">
        <f t="shared" si="5"/>
        <v>312.5</v>
      </c>
      <c r="H105" s="348">
        <v>525</v>
      </c>
      <c r="I105" s="83">
        <v>0.15</v>
      </c>
      <c r="J105" s="79">
        <f t="shared" si="6"/>
        <v>603.75</v>
      </c>
      <c r="K105" s="349">
        <f t="shared" si="7"/>
        <v>0</v>
      </c>
      <c r="L105" s="350">
        <f t="shared" si="8"/>
        <v>916.25</v>
      </c>
      <c r="M105" s="351">
        <f t="shared" si="9"/>
        <v>0</v>
      </c>
      <c r="N105" s="258"/>
      <c r="O105" s="258"/>
    </row>
    <row r="106" spans="1:15" s="297" customFormat="1" ht="14.15" customHeight="1" x14ac:dyDescent="0.3">
      <c r="A106" s="341" t="s">
        <v>187</v>
      </c>
      <c r="B106" s="443" t="s">
        <v>188</v>
      </c>
      <c r="C106" s="29" t="s">
        <v>85</v>
      </c>
      <c r="D106" s="1">
        <v>4</v>
      </c>
      <c r="E106" s="36">
        <v>500</v>
      </c>
      <c r="F106" s="41">
        <v>0.2</v>
      </c>
      <c r="G106" s="348">
        <f t="shared" si="5"/>
        <v>625</v>
      </c>
      <c r="H106" s="348">
        <v>525</v>
      </c>
      <c r="I106" s="83">
        <v>0.15</v>
      </c>
      <c r="J106" s="79">
        <f t="shared" si="6"/>
        <v>603.75</v>
      </c>
      <c r="K106" s="349">
        <f t="shared" si="7"/>
        <v>2415</v>
      </c>
      <c r="L106" s="350">
        <f t="shared" si="8"/>
        <v>1228.75</v>
      </c>
      <c r="M106" s="351">
        <f t="shared" si="9"/>
        <v>4915</v>
      </c>
      <c r="N106" s="258"/>
      <c r="O106" s="258"/>
    </row>
    <row r="107" spans="1:15" s="297" customFormat="1" ht="14.5" customHeight="1" thickBot="1" x14ac:dyDescent="0.35">
      <c r="A107" s="381" t="s">
        <v>189</v>
      </c>
      <c r="B107" s="446" t="s">
        <v>190</v>
      </c>
      <c r="C107" s="76" t="s">
        <v>85</v>
      </c>
      <c r="D107" s="50">
        <v>0</v>
      </c>
      <c r="E107" s="51">
        <v>500</v>
      </c>
      <c r="F107" s="52">
        <v>0.2</v>
      </c>
      <c r="G107" s="376">
        <f t="shared" si="5"/>
        <v>625</v>
      </c>
      <c r="H107" s="376">
        <v>525</v>
      </c>
      <c r="I107" s="84">
        <v>0.15</v>
      </c>
      <c r="J107" s="80">
        <f t="shared" si="6"/>
        <v>603.75</v>
      </c>
      <c r="K107" s="382">
        <f t="shared" si="7"/>
        <v>0</v>
      </c>
      <c r="L107" s="350">
        <f t="shared" si="8"/>
        <v>1228.75</v>
      </c>
      <c r="M107" s="378">
        <f t="shared" si="9"/>
        <v>0</v>
      </c>
      <c r="N107" s="258"/>
      <c r="O107" s="258"/>
    </row>
    <row r="108" spans="1:15" s="297" customFormat="1" ht="14.5" customHeight="1" thickBot="1" x14ac:dyDescent="0.35">
      <c r="A108" s="404"/>
      <c r="B108" s="453"/>
      <c r="C108" s="29"/>
      <c r="D108" s="1"/>
      <c r="E108" s="36"/>
      <c r="F108" s="41"/>
      <c r="G108" s="348"/>
      <c r="H108" s="348"/>
      <c r="I108" s="79"/>
      <c r="J108" s="79"/>
      <c r="K108" s="406"/>
      <c r="L108" s="350"/>
      <c r="M108" s="351"/>
      <c r="N108" s="258"/>
      <c r="O108" s="258"/>
    </row>
    <row r="109" spans="1:15" ht="14.15" customHeight="1" x14ac:dyDescent="0.3">
      <c r="A109" s="359">
        <v>2.15</v>
      </c>
      <c r="B109" s="450"/>
      <c r="C109" s="75"/>
      <c r="D109" s="58" t="s">
        <v>191</v>
      </c>
      <c r="E109" s="56"/>
      <c r="F109" s="57"/>
      <c r="G109" s="361"/>
      <c r="H109" s="361"/>
      <c r="I109" s="56"/>
      <c r="J109" s="56"/>
      <c r="K109" s="362"/>
      <c r="L109" s="363"/>
      <c r="M109" s="363"/>
      <c r="N109" s="258"/>
      <c r="O109" s="258"/>
    </row>
    <row r="110" spans="1:15" ht="14.15" customHeight="1" x14ac:dyDescent="0.3">
      <c r="A110" s="341"/>
      <c r="B110" s="444"/>
      <c r="C110" s="29"/>
      <c r="D110" s="1"/>
      <c r="E110" s="36"/>
      <c r="F110" s="41"/>
      <c r="G110" s="348"/>
      <c r="H110" s="348"/>
      <c r="I110" s="79"/>
      <c r="J110" s="79"/>
      <c r="K110" s="349"/>
      <c r="L110" s="350"/>
      <c r="M110" s="351"/>
      <c r="N110" s="258"/>
      <c r="O110" s="258"/>
    </row>
    <row r="111" spans="1:15" ht="28" customHeight="1" x14ac:dyDescent="0.3">
      <c r="A111" s="341"/>
      <c r="B111" s="443" t="s">
        <v>192</v>
      </c>
      <c r="C111" s="29"/>
      <c r="D111" s="1"/>
      <c r="E111" s="36"/>
      <c r="F111" s="41"/>
      <c r="G111" s="348"/>
      <c r="H111" s="348"/>
      <c r="I111" s="79"/>
      <c r="J111" s="79"/>
      <c r="K111" s="349"/>
      <c r="L111" s="350"/>
      <c r="M111" s="351"/>
      <c r="N111" s="258"/>
      <c r="O111" s="258"/>
    </row>
    <row r="112" spans="1:15" ht="14.15" customHeight="1" x14ac:dyDescent="0.3">
      <c r="A112" s="384"/>
      <c r="B112" s="443"/>
      <c r="C112" s="29"/>
      <c r="D112" s="1"/>
      <c r="E112" s="36"/>
      <c r="F112" s="41"/>
      <c r="G112" s="348"/>
      <c r="H112" s="348"/>
      <c r="I112" s="79"/>
      <c r="J112" s="79"/>
      <c r="K112" s="349"/>
      <c r="L112" s="350"/>
      <c r="M112" s="351"/>
      <c r="N112" s="258"/>
      <c r="O112" s="258"/>
    </row>
    <row r="113" spans="1:15" ht="14.15" customHeight="1" x14ac:dyDescent="0.3">
      <c r="A113" s="341" t="s">
        <v>193</v>
      </c>
      <c r="B113" s="443" t="s">
        <v>194</v>
      </c>
      <c r="C113" s="29" t="s">
        <v>108</v>
      </c>
      <c r="D113" s="1">
        <v>0</v>
      </c>
      <c r="E113" s="36">
        <f>132*(15+10+10)</f>
        <v>4620</v>
      </c>
      <c r="F113" s="41">
        <v>0.2</v>
      </c>
      <c r="G113" s="348">
        <f>E113/(1-F113)</f>
        <v>5775</v>
      </c>
      <c r="H113" s="348">
        <f>9*(15+10+10)</f>
        <v>315</v>
      </c>
      <c r="I113" s="83">
        <v>0.15</v>
      </c>
      <c r="J113" s="79">
        <f>H113*(1+I113)</f>
        <v>362.25</v>
      </c>
      <c r="K113" s="349">
        <f>J113*D113</f>
        <v>0</v>
      </c>
      <c r="L113" s="350">
        <f>G113+J113</f>
        <v>6137.25</v>
      </c>
      <c r="M113" s="351">
        <f>D113*L113</f>
        <v>0</v>
      </c>
      <c r="N113" s="258"/>
      <c r="O113" s="258"/>
    </row>
    <row r="114" spans="1:15" ht="14.5" customHeight="1" thickBot="1" x14ac:dyDescent="0.35">
      <c r="A114" s="381" t="s">
        <v>195</v>
      </c>
      <c r="B114" s="446" t="s">
        <v>196</v>
      </c>
      <c r="C114" s="76" t="s">
        <v>108</v>
      </c>
      <c r="D114" s="50">
        <v>15</v>
      </c>
      <c r="E114" s="51">
        <f>30</f>
        <v>30</v>
      </c>
      <c r="F114" s="52">
        <v>0.2</v>
      </c>
      <c r="G114" s="376">
        <f>E114/(1-F114)</f>
        <v>37.5</v>
      </c>
      <c r="H114" s="376">
        <f>15</f>
        <v>15</v>
      </c>
      <c r="I114" s="84">
        <v>0.15</v>
      </c>
      <c r="J114" s="80">
        <f>H114*(1+I114)</f>
        <v>17.25</v>
      </c>
      <c r="K114" s="382">
        <f>J114*D114</f>
        <v>258.75</v>
      </c>
      <c r="L114" s="407">
        <f>G114+J114</f>
        <v>54.75</v>
      </c>
      <c r="M114" s="378">
        <f>D114*L114</f>
        <v>821.25</v>
      </c>
      <c r="N114" s="258"/>
      <c r="O114" s="258"/>
    </row>
    <row r="115" spans="1:15" ht="14.5" customHeight="1" thickBot="1" x14ac:dyDescent="0.35">
      <c r="A115" s="258"/>
      <c r="B115" s="453"/>
      <c r="C115" s="29"/>
      <c r="D115" s="1"/>
      <c r="E115" s="36"/>
      <c r="F115" s="41"/>
      <c r="G115" s="348"/>
      <c r="H115" s="348"/>
      <c r="I115" s="79"/>
      <c r="J115" s="79"/>
      <c r="K115" s="406"/>
      <c r="L115" s="350"/>
      <c r="M115" s="351"/>
      <c r="N115" s="258"/>
      <c r="O115" s="258"/>
    </row>
    <row r="116" spans="1:15" ht="14.15" customHeight="1" x14ac:dyDescent="0.3">
      <c r="A116" s="359">
        <v>2.16</v>
      </c>
      <c r="B116" s="450"/>
      <c r="C116" s="75"/>
      <c r="D116" s="58" t="s">
        <v>197</v>
      </c>
      <c r="E116" s="56"/>
      <c r="F116" s="57"/>
      <c r="G116" s="361"/>
      <c r="H116" s="361"/>
      <c r="I116" s="56"/>
      <c r="J116" s="56"/>
      <c r="K116" s="362"/>
      <c r="L116" s="363"/>
      <c r="M116" s="363"/>
      <c r="N116" s="258"/>
      <c r="O116" s="258"/>
    </row>
    <row r="117" spans="1:15" ht="14.15" customHeight="1" x14ac:dyDescent="0.3">
      <c r="A117" s="341"/>
      <c r="B117" s="444"/>
      <c r="C117" s="29"/>
      <c r="D117" s="1"/>
      <c r="E117" s="36"/>
      <c r="F117" s="41"/>
      <c r="G117" s="348"/>
      <c r="H117" s="348"/>
      <c r="I117" s="79"/>
      <c r="J117" s="79"/>
      <c r="K117" s="349"/>
      <c r="L117" s="350"/>
      <c r="M117" s="351"/>
      <c r="N117" s="258"/>
      <c r="O117" s="258"/>
    </row>
    <row r="118" spans="1:15" ht="28.5" customHeight="1" thickBot="1" x14ac:dyDescent="0.35">
      <c r="A118" s="381" t="s">
        <v>198</v>
      </c>
      <c r="B118" s="446" t="s">
        <v>199</v>
      </c>
      <c r="C118" s="86" t="s">
        <v>108</v>
      </c>
      <c r="D118" s="50">
        <v>10</v>
      </c>
      <c r="E118" s="51">
        <v>5</v>
      </c>
      <c r="F118" s="52">
        <v>0.2</v>
      </c>
      <c r="G118" s="376">
        <f>E118/(1-F118)</f>
        <v>6.25</v>
      </c>
      <c r="H118" s="376">
        <f>(100*3)</f>
        <v>300</v>
      </c>
      <c r="I118" s="84">
        <v>0.15</v>
      </c>
      <c r="J118" s="80">
        <f>H118*(1+I118)</f>
        <v>345</v>
      </c>
      <c r="K118" s="382">
        <f>J118*D118</f>
        <v>3450</v>
      </c>
      <c r="L118" s="407">
        <f>G118+J118</f>
        <v>351.25</v>
      </c>
      <c r="M118" s="378">
        <f>D118*L118</f>
        <v>3512.5</v>
      </c>
      <c r="N118" s="258"/>
      <c r="O118" s="258"/>
    </row>
    <row r="119" spans="1:15" ht="13.4" customHeight="1" thickBot="1" x14ac:dyDescent="0.35">
      <c r="A119" s="404"/>
      <c r="B119" s="453"/>
      <c r="C119" s="29"/>
      <c r="D119" s="1"/>
      <c r="E119" s="36"/>
      <c r="F119" s="41"/>
      <c r="G119" s="348"/>
      <c r="H119" s="348"/>
      <c r="I119" s="79"/>
      <c r="J119" s="79"/>
      <c r="K119" s="406"/>
      <c r="L119" s="350"/>
      <c r="M119" s="351"/>
      <c r="N119" s="258"/>
      <c r="O119" s="258"/>
    </row>
    <row r="120" spans="1:15" ht="14.15" customHeight="1" x14ac:dyDescent="0.3">
      <c r="A120" s="359">
        <v>2.17</v>
      </c>
      <c r="B120" s="450"/>
      <c r="C120" s="75"/>
      <c r="D120" s="58" t="s">
        <v>200</v>
      </c>
      <c r="E120" s="56"/>
      <c r="F120" s="57"/>
      <c r="G120" s="361"/>
      <c r="H120" s="361"/>
      <c r="I120" s="56"/>
      <c r="J120" s="56"/>
      <c r="K120" s="362"/>
      <c r="L120" s="363"/>
      <c r="M120" s="363"/>
      <c r="N120" s="258"/>
      <c r="O120" s="258"/>
    </row>
    <row r="121" spans="1:15" ht="14.15" customHeight="1" x14ac:dyDescent="0.3">
      <c r="A121" s="341"/>
      <c r="B121" s="454"/>
      <c r="C121" s="29"/>
      <c r="D121" s="1"/>
      <c r="E121" s="36"/>
      <c r="F121" s="41"/>
      <c r="G121" s="348"/>
      <c r="H121" s="348"/>
      <c r="I121" s="79"/>
      <c r="J121" s="79"/>
      <c r="K121" s="349"/>
      <c r="L121" s="350"/>
      <c r="M121" s="351"/>
      <c r="N121" s="258"/>
      <c r="O121" s="258"/>
    </row>
    <row r="122" spans="1:15" ht="14.15" customHeight="1" x14ac:dyDescent="0.3">
      <c r="A122" s="341"/>
      <c r="B122" s="443" t="s">
        <v>201</v>
      </c>
      <c r="C122" s="29"/>
      <c r="D122" s="1"/>
      <c r="E122" s="36"/>
      <c r="F122" s="41"/>
      <c r="G122" s="348"/>
      <c r="H122" s="348"/>
      <c r="I122" s="79"/>
      <c r="J122" s="79"/>
      <c r="K122" s="349"/>
      <c r="L122" s="350"/>
      <c r="M122" s="351"/>
      <c r="N122" s="258"/>
      <c r="O122" s="258"/>
    </row>
    <row r="123" spans="1:15" ht="14.15" customHeight="1" x14ac:dyDescent="0.3">
      <c r="A123" s="384"/>
      <c r="B123" s="455"/>
      <c r="C123" s="29"/>
      <c r="D123" s="1"/>
      <c r="E123" s="36"/>
      <c r="F123" s="41"/>
      <c r="G123" s="348"/>
      <c r="H123" s="348"/>
      <c r="I123" s="79"/>
      <c r="J123" s="79"/>
      <c r="K123" s="349"/>
      <c r="L123" s="350"/>
      <c r="M123" s="351"/>
      <c r="N123" s="258"/>
      <c r="O123" s="258"/>
    </row>
    <row r="124" spans="1:15" ht="28" customHeight="1" x14ac:dyDescent="0.3">
      <c r="A124" s="341" t="s">
        <v>202</v>
      </c>
      <c r="B124" s="443" t="s">
        <v>203</v>
      </c>
      <c r="C124" s="87" t="s">
        <v>42</v>
      </c>
      <c r="D124" s="1">
        <v>0</v>
      </c>
      <c r="E124" s="36"/>
      <c r="F124" s="41">
        <v>0.2</v>
      </c>
      <c r="G124" s="348">
        <f>E124/(1-F124)</f>
        <v>0</v>
      </c>
      <c r="H124" s="348">
        <f>140*(20+60+200)</f>
        <v>39200</v>
      </c>
      <c r="I124" s="83">
        <v>0.15</v>
      </c>
      <c r="J124" s="79">
        <f>H124*(1+I124)</f>
        <v>45080</v>
      </c>
      <c r="K124" s="349">
        <f>J124*D124</f>
        <v>0</v>
      </c>
      <c r="L124" s="350">
        <f>G124+J124</f>
        <v>45080</v>
      </c>
      <c r="M124" s="351">
        <f>D124*L124</f>
        <v>0</v>
      </c>
      <c r="N124" s="258"/>
      <c r="O124" s="258"/>
    </row>
    <row r="125" spans="1:15" s="297" customFormat="1" ht="28" customHeight="1" x14ac:dyDescent="0.3">
      <c r="A125" s="341" t="s">
        <v>204</v>
      </c>
      <c r="B125" s="443" t="s">
        <v>205</v>
      </c>
      <c r="C125" s="87" t="s">
        <v>42</v>
      </c>
      <c r="D125" s="1">
        <v>0</v>
      </c>
      <c r="E125" s="36"/>
      <c r="F125" s="41">
        <v>0.2</v>
      </c>
      <c r="G125" s="348">
        <f>E125/(1-F125)</f>
        <v>0</v>
      </c>
      <c r="H125" s="348">
        <f>140*(20+60+200)</f>
        <v>39200</v>
      </c>
      <c r="I125" s="83">
        <v>0.15</v>
      </c>
      <c r="J125" s="79">
        <f>H125*(1+I125)</f>
        <v>45080</v>
      </c>
      <c r="K125" s="349">
        <f>J125*D125</f>
        <v>0</v>
      </c>
      <c r="L125" s="350">
        <f>G125+J125</f>
        <v>45080</v>
      </c>
      <c r="M125" s="351">
        <f>D125*L125</f>
        <v>0</v>
      </c>
      <c r="N125" s="258"/>
      <c r="O125" s="258"/>
    </row>
    <row r="126" spans="1:15" s="297" customFormat="1" ht="14.15" customHeight="1" x14ac:dyDescent="0.3">
      <c r="A126" s="341" t="s">
        <v>206</v>
      </c>
      <c r="B126" s="443" t="s">
        <v>207</v>
      </c>
      <c r="C126" s="29" t="s">
        <v>42</v>
      </c>
      <c r="D126" s="1">
        <v>0</v>
      </c>
      <c r="E126" s="36">
        <f>35*(50+50)</f>
        <v>3500</v>
      </c>
      <c r="F126" s="41">
        <v>0.2</v>
      </c>
      <c r="G126" s="348">
        <f>E126/(1-F126)</f>
        <v>4375</v>
      </c>
      <c r="H126" s="348">
        <f>5*(50+50+50)</f>
        <v>750</v>
      </c>
      <c r="I126" s="83">
        <v>0.15</v>
      </c>
      <c r="J126" s="79">
        <f>H126*(1+I126)</f>
        <v>862.49999999999989</v>
      </c>
      <c r="K126" s="349">
        <f>J126*D126</f>
        <v>0</v>
      </c>
      <c r="L126" s="350">
        <f>G126+J126</f>
        <v>5237.5</v>
      </c>
      <c r="M126" s="351">
        <f>D126*L126</f>
        <v>0</v>
      </c>
      <c r="N126" s="258"/>
      <c r="O126" s="258"/>
    </row>
    <row r="127" spans="1:15" s="297" customFormat="1" ht="14.5" customHeight="1" thickBot="1" x14ac:dyDescent="0.35">
      <c r="A127" s="381" t="s">
        <v>208</v>
      </c>
      <c r="B127" s="446" t="s">
        <v>209</v>
      </c>
      <c r="C127" s="76" t="s">
        <v>42</v>
      </c>
      <c r="D127" s="50">
        <v>0</v>
      </c>
      <c r="E127" s="51">
        <f>4500*3</f>
        <v>13500</v>
      </c>
      <c r="F127" s="52">
        <v>0.2</v>
      </c>
      <c r="G127" s="376">
        <f>E127/(1-F127)</f>
        <v>16875</v>
      </c>
      <c r="H127" s="376">
        <v>5</v>
      </c>
      <c r="I127" s="84">
        <v>0.15</v>
      </c>
      <c r="J127" s="80">
        <f>H127*(1+I127)</f>
        <v>5.75</v>
      </c>
      <c r="K127" s="382">
        <f>J127*D127</f>
        <v>0</v>
      </c>
      <c r="L127" s="407">
        <f>G127+J127</f>
        <v>16880.75</v>
      </c>
      <c r="M127" s="378">
        <f>D127*L127</f>
        <v>0</v>
      </c>
      <c r="N127" s="258"/>
      <c r="O127" s="258"/>
    </row>
    <row r="128" spans="1:15" s="297" customFormat="1" ht="14.5" customHeight="1" thickBot="1" x14ac:dyDescent="0.35">
      <c r="A128" s="404"/>
      <c r="B128" s="456"/>
      <c r="C128" s="28"/>
      <c r="D128" s="1"/>
      <c r="E128" s="36"/>
      <c r="F128" s="41"/>
      <c r="G128" s="348"/>
      <c r="H128" s="348"/>
      <c r="I128" s="79"/>
      <c r="J128" s="79"/>
      <c r="K128" s="406"/>
      <c r="L128" s="350"/>
      <c r="M128" s="351"/>
      <c r="N128" s="258"/>
      <c r="O128" s="258"/>
    </row>
    <row r="129" spans="1:15" s="297" customFormat="1" ht="14.15" customHeight="1" x14ac:dyDescent="0.3">
      <c r="A129" s="359">
        <v>2.1800000000000002</v>
      </c>
      <c r="B129" s="450"/>
      <c r="C129" s="75"/>
      <c r="D129" s="55" t="s">
        <v>210</v>
      </c>
      <c r="E129" s="56"/>
      <c r="F129" s="57"/>
      <c r="G129" s="361"/>
      <c r="H129" s="361"/>
      <c r="I129" s="56"/>
      <c r="J129" s="56"/>
      <c r="K129" s="362"/>
      <c r="L129" s="363"/>
      <c r="M129" s="363"/>
      <c r="N129" s="258"/>
      <c r="O129" s="258"/>
    </row>
    <row r="130" spans="1:15" s="297" customFormat="1" ht="14.15" customHeight="1" x14ac:dyDescent="0.3">
      <c r="A130" s="341"/>
      <c r="B130" s="454"/>
      <c r="C130" s="29"/>
      <c r="D130" s="1"/>
      <c r="E130" s="36"/>
      <c r="F130" s="41"/>
      <c r="G130" s="348"/>
      <c r="H130" s="348"/>
      <c r="I130" s="79"/>
      <c r="J130" s="79"/>
      <c r="K130" s="349"/>
      <c r="L130" s="350"/>
      <c r="M130" s="351"/>
      <c r="N130" s="258"/>
      <c r="O130" s="258"/>
    </row>
    <row r="131" spans="1:15" s="297" customFormat="1" ht="14.15" customHeight="1" x14ac:dyDescent="0.3">
      <c r="A131" s="341" t="s">
        <v>211</v>
      </c>
      <c r="B131" s="443" t="s">
        <v>243</v>
      </c>
      <c r="C131" s="29" t="s">
        <v>42</v>
      </c>
      <c r="D131" s="1">
        <v>1</v>
      </c>
      <c r="E131" s="36">
        <v>0</v>
      </c>
      <c r="F131" s="41">
        <v>0.2</v>
      </c>
      <c r="G131" s="348">
        <f>E131/(1-F131)</f>
        <v>0</v>
      </c>
      <c r="H131" s="348">
        <f>2500*3</f>
        <v>7500</v>
      </c>
      <c r="I131" s="79"/>
      <c r="J131" s="79"/>
      <c r="K131" s="349">
        <f>H131*D131</f>
        <v>7500</v>
      </c>
      <c r="L131" s="350">
        <f>G131+J131</f>
        <v>0</v>
      </c>
      <c r="M131" s="351">
        <f>D131*L131</f>
        <v>0</v>
      </c>
      <c r="N131" s="258"/>
      <c r="O131" s="258"/>
    </row>
    <row r="132" spans="1:15" s="297" customFormat="1" ht="14.5" customHeight="1" thickBot="1" x14ac:dyDescent="0.35">
      <c r="A132" s="381"/>
      <c r="B132" s="411"/>
      <c r="C132" s="77"/>
      <c r="D132" s="50"/>
      <c r="E132" s="51"/>
      <c r="F132" s="52"/>
      <c r="G132" s="376"/>
      <c r="H132" s="376"/>
      <c r="I132" s="80"/>
      <c r="J132" s="80"/>
      <c r="K132" s="382">
        <f>H132*D132</f>
        <v>0</v>
      </c>
      <c r="L132" s="412"/>
      <c r="M132" s="378"/>
      <c r="N132" s="258"/>
      <c r="O132" s="258"/>
    </row>
    <row r="133" spans="1:15" s="297" customFormat="1" ht="14.15" customHeight="1" x14ac:dyDescent="0.3">
      <c r="A133" s="369"/>
      <c r="B133" s="413"/>
      <c r="C133" s="28"/>
      <c r="D133" s="1"/>
      <c r="E133" s="36"/>
      <c r="F133" s="41"/>
      <c r="G133" s="348"/>
      <c r="H133" s="348"/>
      <c r="I133" s="36"/>
      <c r="J133" s="36"/>
      <c r="K133" s="414"/>
      <c r="L133" s="350"/>
      <c r="M133" s="351"/>
      <c r="N133" s="258"/>
      <c r="O133" s="258"/>
    </row>
    <row r="134" spans="1:15" s="297" customFormat="1" ht="14.15" customHeight="1" x14ac:dyDescent="0.3">
      <c r="A134" s="404">
        <v>2.19</v>
      </c>
      <c r="B134" s="455" t="s">
        <v>213</v>
      </c>
      <c r="C134" s="29"/>
      <c r="D134" s="1"/>
      <c r="E134" s="36"/>
      <c r="F134" s="41"/>
      <c r="G134" s="348"/>
      <c r="H134" s="348"/>
      <c r="I134" s="36"/>
      <c r="J134" s="36"/>
      <c r="K134" s="415">
        <f>H134*D134</f>
        <v>0</v>
      </c>
      <c r="L134" s="350"/>
      <c r="M134" s="351"/>
      <c r="N134" s="258"/>
      <c r="O134" s="258"/>
    </row>
    <row r="135" spans="1:15" s="297" customFormat="1" ht="14.15" customHeight="1" x14ac:dyDescent="0.3">
      <c r="A135" s="404" t="s">
        <v>214</v>
      </c>
      <c r="B135" s="443" t="s">
        <v>215</v>
      </c>
      <c r="C135" s="29" t="s">
        <v>42</v>
      </c>
      <c r="D135" s="1">
        <v>1</v>
      </c>
      <c r="E135" s="36">
        <v>25000</v>
      </c>
      <c r="F135" s="41">
        <v>0</v>
      </c>
      <c r="G135" s="348">
        <f>E135/(1-F135)</f>
        <v>25000</v>
      </c>
      <c r="H135" s="348">
        <v>0</v>
      </c>
      <c r="I135" s="36"/>
      <c r="J135" s="36"/>
      <c r="K135" s="415">
        <f>H135*D135</f>
        <v>0</v>
      </c>
      <c r="L135" s="350">
        <f>G135+H135</f>
        <v>25000</v>
      </c>
      <c r="M135" s="351">
        <f>D135*L135</f>
        <v>25000</v>
      </c>
      <c r="N135" s="258"/>
      <c r="O135" s="258"/>
    </row>
    <row r="136" spans="1:15" s="297" customFormat="1" ht="14.15" customHeight="1" x14ac:dyDescent="0.3">
      <c r="A136" s="404"/>
      <c r="B136" s="455"/>
      <c r="C136" s="29"/>
      <c r="D136" s="1"/>
      <c r="E136" s="36"/>
      <c r="F136" s="41"/>
      <c r="G136" s="348"/>
      <c r="H136" s="348"/>
      <c r="I136" s="36"/>
      <c r="J136" s="36"/>
      <c r="K136" s="415"/>
      <c r="L136" s="350"/>
      <c r="M136" s="351"/>
      <c r="N136" s="258"/>
      <c r="O136" s="258"/>
    </row>
    <row r="137" spans="1:15" s="297" customFormat="1" ht="14.15" customHeight="1" x14ac:dyDescent="0.3">
      <c r="A137" s="416">
        <v>2.2000000000000002</v>
      </c>
      <c r="B137" s="455" t="s">
        <v>216</v>
      </c>
      <c r="C137" s="29"/>
      <c r="D137" s="1"/>
      <c r="E137" s="36"/>
      <c r="F137" s="41"/>
      <c r="G137" s="348"/>
      <c r="H137" s="348"/>
      <c r="I137" s="36"/>
      <c r="J137" s="36"/>
      <c r="K137" s="415">
        <f>H137*D137</f>
        <v>0</v>
      </c>
      <c r="L137" s="350"/>
      <c r="M137" s="351"/>
      <c r="N137" s="258"/>
      <c r="O137" s="258"/>
    </row>
    <row r="138" spans="1:15" s="297" customFormat="1" ht="14.15" customHeight="1" x14ac:dyDescent="0.3">
      <c r="A138" s="404" t="s">
        <v>217</v>
      </c>
      <c r="B138" s="443" t="s">
        <v>218</v>
      </c>
      <c r="C138" s="29" t="s">
        <v>42</v>
      </c>
      <c r="D138" s="1">
        <v>1</v>
      </c>
      <c r="E138" s="36">
        <f>15000</f>
        <v>15000</v>
      </c>
      <c r="F138" s="41">
        <v>0</v>
      </c>
      <c r="G138" s="348">
        <f>E138/(1-F138)</f>
        <v>15000</v>
      </c>
      <c r="H138" s="348">
        <v>0</v>
      </c>
      <c r="I138" s="36"/>
      <c r="J138" s="36"/>
      <c r="K138" s="415">
        <f>H138*D138</f>
        <v>0</v>
      </c>
      <c r="L138" s="350">
        <f>G138+H138</f>
        <v>15000</v>
      </c>
      <c r="M138" s="351">
        <f>D138*L138</f>
        <v>15000</v>
      </c>
      <c r="N138" s="258"/>
      <c r="O138" s="258"/>
    </row>
    <row r="139" spans="1:15" s="297" customFormat="1" ht="14.15" customHeight="1" x14ac:dyDescent="0.3">
      <c r="A139" s="404"/>
      <c r="B139" s="455"/>
      <c r="C139" s="29"/>
      <c r="D139" s="1"/>
      <c r="E139" s="36"/>
      <c r="F139" s="41"/>
      <c r="G139" s="348"/>
      <c r="H139" s="348"/>
      <c r="I139" s="36"/>
      <c r="J139" s="36"/>
      <c r="K139" s="415"/>
      <c r="L139" s="350"/>
      <c r="M139" s="351"/>
      <c r="N139" s="258"/>
      <c r="O139" s="258"/>
    </row>
    <row r="140" spans="1:15" s="297" customFormat="1" ht="14.15" customHeight="1" x14ac:dyDescent="0.3">
      <c r="A140" s="404">
        <v>2.21</v>
      </c>
      <c r="B140" s="455" t="s">
        <v>219</v>
      </c>
      <c r="C140" s="29"/>
      <c r="D140" s="1"/>
      <c r="E140" s="36"/>
      <c r="F140" s="41"/>
      <c r="G140" s="348"/>
      <c r="H140" s="348"/>
      <c r="I140" s="36"/>
      <c r="J140" s="36"/>
      <c r="K140" s="415">
        <f>H140*D140</f>
        <v>0</v>
      </c>
      <c r="L140" s="350"/>
      <c r="M140" s="351"/>
      <c r="N140" s="258"/>
      <c r="O140" s="258"/>
    </row>
    <row r="141" spans="1:15" ht="14.15" customHeight="1" x14ac:dyDescent="0.3">
      <c r="A141" s="404" t="s">
        <v>220</v>
      </c>
      <c r="B141" s="443" t="s">
        <v>221</v>
      </c>
      <c r="C141" s="29" t="s">
        <v>42</v>
      </c>
      <c r="D141" s="1">
        <v>1</v>
      </c>
      <c r="E141" s="36">
        <f>5000</f>
        <v>5000</v>
      </c>
      <c r="F141" s="41">
        <v>0</v>
      </c>
      <c r="G141" s="348">
        <f>E141/(1-F141)</f>
        <v>5000</v>
      </c>
      <c r="H141" s="348">
        <v>0</v>
      </c>
      <c r="I141" s="36"/>
      <c r="J141" s="36"/>
      <c r="K141" s="415">
        <f>H141*D141</f>
        <v>0</v>
      </c>
      <c r="L141" s="350">
        <f>G141+H141</f>
        <v>5000</v>
      </c>
      <c r="M141" s="351">
        <f>D141*L141</f>
        <v>5000</v>
      </c>
      <c r="N141" s="258"/>
      <c r="O141" s="258"/>
    </row>
    <row r="142" spans="1:15" ht="14.15" customHeight="1" x14ac:dyDescent="0.3">
      <c r="A142" s="404" t="s">
        <v>222</v>
      </c>
      <c r="B142" s="443" t="s">
        <v>223</v>
      </c>
      <c r="C142" s="29" t="s">
        <v>42</v>
      </c>
      <c r="D142" s="1">
        <v>1</v>
      </c>
      <c r="E142" s="36">
        <f>50000</f>
        <v>50000</v>
      </c>
      <c r="F142" s="41">
        <v>0</v>
      </c>
      <c r="G142" s="348">
        <f>E142/(1-F142)</f>
        <v>50000</v>
      </c>
      <c r="H142" s="348">
        <v>0</v>
      </c>
      <c r="I142" s="36"/>
      <c r="J142" s="36"/>
      <c r="K142" s="415">
        <f>H142*D142</f>
        <v>0</v>
      </c>
      <c r="L142" s="350">
        <f>G142+H142</f>
        <v>50000</v>
      </c>
      <c r="M142" s="351">
        <f>D142*L142</f>
        <v>50000</v>
      </c>
      <c r="N142" s="258"/>
      <c r="O142" s="258"/>
    </row>
    <row r="143" spans="1:15" ht="14.15" customHeight="1" x14ac:dyDescent="0.3">
      <c r="A143" s="404"/>
      <c r="B143" s="413"/>
      <c r="C143" s="28"/>
      <c r="D143" s="1"/>
      <c r="E143" s="36"/>
      <c r="F143" s="41"/>
      <c r="G143" s="348"/>
      <c r="H143" s="348"/>
      <c r="I143" s="36"/>
      <c r="J143" s="36"/>
      <c r="K143" s="415"/>
      <c r="L143" s="350"/>
      <c r="M143" s="351"/>
      <c r="N143" s="258"/>
      <c r="O143" s="258"/>
    </row>
    <row r="144" spans="1:15" ht="14.15" customHeight="1" x14ac:dyDescent="0.3">
      <c r="A144" s="404">
        <v>2.2200000000000002</v>
      </c>
      <c r="B144" s="455" t="s">
        <v>224</v>
      </c>
      <c r="C144" s="28"/>
      <c r="D144" s="1"/>
      <c r="E144" s="36"/>
      <c r="F144" s="41"/>
      <c r="G144" s="348"/>
      <c r="H144" s="348"/>
      <c r="I144" s="36"/>
      <c r="J144" s="36"/>
      <c r="K144" s="415">
        <f>H144*D144</f>
        <v>0</v>
      </c>
      <c r="L144" s="350"/>
      <c r="M144" s="351"/>
      <c r="N144" s="258"/>
      <c r="O144" s="258"/>
    </row>
    <row r="145" spans="1:15" ht="14.15" customHeight="1" x14ac:dyDescent="0.3">
      <c r="A145" s="404"/>
      <c r="B145" s="413"/>
      <c r="C145" s="28"/>
      <c r="D145" s="1"/>
      <c r="E145" s="36"/>
      <c r="F145" s="41"/>
      <c r="G145" s="348"/>
      <c r="H145" s="348"/>
      <c r="I145" s="36"/>
      <c r="J145" s="36"/>
      <c r="K145" s="415">
        <f>H145*D145</f>
        <v>0</v>
      </c>
      <c r="L145" s="350"/>
      <c r="M145" s="351"/>
      <c r="N145" s="258"/>
      <c r="O145" s="258"/>
    </row>
    <row r="146" spans="1:15" ht="28" customHeight="1" x14ac:dyDescent="0.3">
      <c r="A146" s="404" t="s">
        <v>225</v>
      </c>
      <c r="B146" s="443" t="s">
        <v>226</v>
      </c>
      <c r="C146" s="28" t="s">
        <v>42</v>
      </c>
      <c r="D146" s="1">
        <v>1</v>
      </c>
      <c r="E146" s="36">
        <f>5000*3</f>
        <v>15000</v>
      </c>
      <c r="F146" s="41">
        <v>0.2</v>
      </c>
      <c r="G146" s="348">
        <f>E146/(1-F146)</f>
        <v>18750</v>
      </c>
      <c r="H146" s="348">
        <v>1</v>
      </c>
      <c r="I146" s="36"/>
      <c r="J146" s="36"/>
      <c r="K146" s="415">
        <f>H146*D146</f>
        <v>1</v>
      </c>
      <c r="L146" s="350">
        <f>G146+H146</f>
        <v>18751</v>
      </c>
      <c r="M146" s="351">
        <f>D146*L146</f>
        <v>18751</v>
      </c>
      <c r="N146" s="258"/>
      <c r="O146" s="258"/>
    </row>
    <row r="147" spans="1:15" ht="14.15" customHeight="1" x14ac:dyDescent="0.3">
      <c r="A147" s="404"/>
      <c r="B147" s="413"/>
      <c r="C147" s="28"/>
      <c r="D147" s="1"/>
      <c r="E147" s="36"/>
      <c r="F147" s="41"/>
      <c r="G147" s="348"/>
      <c r="H147" s="348"/>
      <c r="I147" s="36"/>
      <c r="J147" s="36"/>
      <c r="K147" s="417"/>
      <c r="L147" s="350"/>
      <c r="M147" s="418"/>
      <c r="N147" s="258"/>
      <c r="O147" s="258"/>
    </row>
    <row r="148" spans="1:15" ht="14.5" customHeight="1" thickBot="1" x14ac:dyDescent="0.35">
      <c r="A148" s="440"/>
      <c r="B148" s="413"/>
      <c r="C148" s="28"/>
      <c r="D148" s="1"/>
      <c r="E148" s="36"/>
      <c r="F148" s="41"/>
      <c r="G148" s="348"/>
      <c r="H148" s="348"/>
      <c r="I148" s="36"/>
      <c r="J148" s="36"/>
      <c r="K148" s="417"/>
      <c r="L148" s="350"/>
      <c r="M148" s="418"/>
      <c r="N148" s="258"/>
      <c r="O148" s="258"/>
    </row>
    <row r="149" spans="1:15" ht="18.75" customHeight="1" thickTop="1" x14ac:dyDescent="0.3">
      <c r="A149" s="419"/>
      <c r="B149" s="457" t="s">
        <v>227</v>
      </c>
      <c r="C149" s="2"/>
      <c r="D149" s="2"/>
      <c r="E149" s="39"/>
      <c r="F149" s="42"/>
      <c r="G149" s="421"/>
      <c r="H149" s="421"/>
      <c r="I149" s="39"/>
      <c r="J149" s="39"/>
      <c r="K149" s="422">
        <f>SUM(K11:K146)</f>
        <v>108177.75</v>
      </c>
      <c r="L149" s="458"/>
      <c r="M149" s="424">
        <f>SUM(M11:M148)</f>
        <v>1161370.5354761905</v>
      </c>
      <c r="N149" s="258"/>
      <c r="O149" s="258"/>
    </row>
    <row r="150" spans="1:15" ht="16.5" customHeight="1" x14ac:dyDescent="0.3">
      <c r="A150" s="426"/>
      <c r="B150" s="427"/>
      <c r="C150" s="257"/>
      <c r="D150" s="47"/>
      <c r="E150" s="250"/>
      <c r="F150" s="48"/>
      <c r="G150" s="428"/>
      <c r="H150" s="428"/>
      <c r="I150" s="250"/>
      <c r="J150" s="250"/>
      <c r="K150" s="429"/>
      <c r="L150" s="430"/>
      <c r="M150" s="431"/>
      <c r="N150" s="258"/>
      <c r="O150" s="258"/>
    </row>
    <row r="151" spans="1:15" ht="18.75" customHeight="1" x14ac:dyDescent="0.3">
      <c r="A151" s="258"/>
      <c r="B151" s="387"/>
      <c r="C151" s="34"/>
      <c r="D151" s="249"/>
      <c r="E151" s="249"/>
      <c r="F151" s="249"/>
      <c r="G151" s="432"/>
      <c r="H151" s="432"/>
      <c r="I151" s="249"/>
      <c r="J151" s="249"/>
      <c r="K151" s="432"/>
      <c r="L151" s="433"/>
      <c r="M151" s="434"/>
      <c r="N151" s="258"/>
      <c r="O151" s="258"/>
    </row>
    <row r="152" spans="1:15" ht="18.75" customHeight="1" x14ac:dyDescent="0.25"/>
    <row r="153" spans="1:15" ht="18.75" customHeight="1" x14ac:dyDescent="0.25"/>
    <row r="154" spans="1:15" ht="18.75" customHeight="1" x14ac:dyDescent="0.25"/>
    <row r="155" spans="1:15" ht="18.75" customHeight="1" x14ac:dyDescent="0.25"/>
    <row r="156" spans="1:15" ht="18.75" customHeight="1" x14ac:dyDescent="0.25"/>
    <row r="157" spans="1:15" ht="18.75" customHeight="1" x14ac:dyDescent="0.25"/>
    <row r="158" spans="1:15" ht="18.75" customHeight="1" x14ac:dyDescent="0.25"/>
    <row r="159" spans="1:15" ht="18.75" customHeight="1" x14ac:dyDescent="0.25"/>
    <row r="160" spans="1:15" ht="18.75" customHeight="1" x14ac:dyDescent="0.25"/>
    <row r="161" ht="18.75" customHeight="1" x14ac:dyDescent="0.25"/>
    <row r="162" ht="18.75" customHeight="1" x14ac:dyDescent="0.25"/>
    <row r="163" ht="18.75" customHeight="1" x14ac:dyDescent="0.25"/>
    <row r="164" ht="18.75" customHeight="1" x14ac:dyDescent="0.25"/>
    <row r="165" ht="18.75" customHeight="1" x14ac:dyDescent="0.25"/>
    <row r="166" ht="18.75" customHeight="1" x14ac:dyDescent="0.25"/>
    <row r="167" ht="18.75" customHeight="1" x14ac:dyDescent="0.25"/>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167"/>
  <sheetViews>
    <sheetView view="pageBreakPreview" topLeftCell="I1" zoomScale="85" zoomScaleNormal="100" zoomScaleSheetLayoutView="85" workbookViewId="0">
      <pane ySplit="5" topLeftCell="A141" activePane="bottomLeft" state="frozen"/>
      <selection pane="bottomLeft" activeCell="N150" sqref="N150"/>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1" width="13.81640625" style="8" customWidth="1"/>
    <col min="12" max="12" width="12.453125" style="295"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33" t="s">
        <v>36</v>
      </c>
      <c r="E5" s="82" t="s">
        <v>72</v>
      </c>
      <c r="F5" s="82" t="s">
        <v>73</v>
      </c>
      <c r="G5" s="313" t="s">
        <v>74</v>
      </c>
      <c r="H5" s="314" t="s">
        <v>75</v>
      </c>
      <c r="I5" s="82" t="s">
        <v>73</v>
      </c>
      <c r="J5" s="315" t="s">
        <v>76</v>
      </c>
      <c r="K5" s="316"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347" t="s">
        <v>413</v>
      </c>
      <c r="C11" s="248" t="s">
        <v>85</v>
      </c>
      <c r="D11" s="1">
        <v>0</v>
      </c>
      <c r="E11" s="36">
        <f>1623.93</f>
        <v>1623.93</v>
      </c>
      <c r="F11" s="41">
        <v>0.25</v>
      </c>
      <c r="G11" s="348">
        <f>E11/(1-F11)</f>
        <v>2165.2400000000002</v>
      </c>
      <c r="H11" s="348">
        <v>350</v>
      </c>
      <c r="I11" s="83">
        <v>0.15</v>
      </c>
      <c r="J11" s="79">
        <f>H11*(1+I11)</f>
        <v>402.49999999999994</v>
      </c>
      <c r="K11" s="349">
        <f>J11*D11</f>
        <v>0</v>
      </c>
      <c r="L11" s="350">
        <f>G11+J11</f>
        <v>2567.7400000000002</v>
      </c>
      <c r="M11" s="351">
        <f>D11*L11</f>
        <v>0</v>
      </c>
      <c r="N11" s="258"/>
      <c r="O11" s="258"/>
    </row>
    <row r="12" spans="1:15" ht="14.5" customHeight="1" thickBot="1" x14ac:dyDescent="0.35">
      <c r="A12" s="354"/>
      <c r="B12" s="441"/>
      <c r="C12" s="71"/>
      <c r="D12" s="72"/>
      <c r="E12" s="73"/>
      <c r="F12" s="74"/>
      <c r="G12" s="356"/>
      <c r="H12" s="356"/>
      <c r="I12" s="73"/>
      <c r="J12" s="73"/>
      <c r="K12" s="357"/>
      <c r="L12" s="358"/>
      <c r="M12" s="358"/>
      <c r="N12" s="258"/>
      <c r="O12" s="258"/>
    </row>
    <row r="13" spans="1:15" ht="14.15" customHeight="1" x14ac:dyDescent="0.3">
      <c r="A13" s="359" t="s">
        <v>86</v>
      </c>
      <c r="B13" s="360"/>
      <c r="C13" s="255"/>
      <c r="D13" s="58" t="s">
        <v>87</v>
      </c>
      <c r="E13" s="56"/>
      <c r="F13" s="57"/>
      <c r="G13" s="361"/>
      <c r="H13" s="361"/>
      <c r="I13" s="56"/>
      <c r="J13" s="56"/>
      <c r="K13" s="362"/>
      <c r="L13" s="363"/>
      <c r="M13" s="363"/>
      <c r="N13" s="258"/>
      <c r="O13" s="258"/>
    </row>
    <row r="14" spans="1:15" ht="14.5" customHeight="1" thickBot="1" x14ac:dyDescent="0.35">
      <c r="A14" s="341" t="s">
        <v>88</v>
      </c>
      <c r="B14" s="442" t="s">
        <v>414</v>
      </c>
      <c r="C14" s="248" t="s">
        <v>85</v>
      </c>
      <c r="D14" s="1">
        <v>2</v>
      </c>
      <c r="E14" s="36">
        <v>42053.599999999999</v>
      </c>
      <c r="F14" s="41">
        <v>0.2</v>
      </c>
      <c r="G14" s="348">
        <f>E14/(1-F14)</f>
        <v>52566.999999999993</v>
      </c>
      <c r="H14" s="348">
        <f>(550*8)+3600</f>
        <v>8000</v>
      </c>
      <c r="I14" s="83">
        <v>0.15</v>
      </c>
      <c r="J14" s="79">
        <f>H14*(1+I14)</f>
        <v>9200</v>
      </c>
      <c r="K14" s="349">
        <f>J14*D14</f>
        <v>18400</v>
      </c>
      <c r="L14" s="350">
        <f>G14+J14</f>
        <v>61766.999999999993</v>
      </c>
      <c r="M14" s="351">
        <f>D14*L14</f>
        <v>123533.99999999999</v>
      </c>
      <c r="N14" s="258"/>
      <c r="O14" s="258"/>
    </row>
    <row r="15" spans="1:15" ht="14.5" customHeight="1" thickBot="1" x14ac:dyDescent="0.35">
      <c r="A15" s="354"/>
      <c r="B15" s="441"/>
      <c r="C15" s="71"/>
      <c r="D15" s="72"/>
      <c r="E15" s="73"/>
      <c r="F15" s="74"/>
      <c r="G15" s="356"/>
      <c r="H15" s="356"/>
      <c r="I15" s="73"/>
      <c r="J15" s="73"/>
      <c r="K15" s="357"/>
      <c r="L15" s="358"/>
      <c r="M15" s="358"/>
      <c r="N15" s="258"/>
      <c r="O15" s="258"/>
    </row>
    <row r="16" spans="1:15" ht="14.15" customHeight="1" x14ac:dyDescent="0.3">
      <c r="A16" s="359">
        <v>2.2999999999999998</v>
      </c>
      <c r="B16" s="367"/>
      <c r="C16" s="255"/>
      <c r="D16" s="58" t="s">
        <v>91</v>
      </c>
      <c r="E16" s="56"/>
      <c r="F16" s="57"/>
      <c r="G16" s="361"/>
      <c r="H16" s="361"/>
      <c r="I16" s="56"/>
      <c r="J16" s="56"/>
      <c r="K16" s="362"/>
      <c r="L16" s="363"/>
      <c r="M16" s="363"/>
      <c r="N16" s="258"/>
      <c r="O16" s="258"/>
    </row>
    <row r="17" spans="1:15" ht="14.15" customHeight="1" x14ac:dyDescent="0.3">
      <c r="A17" s="341" t="s">
        <v>92</v>
      </c>
      <c r="B17" s="443" t="s">
        <v>415</v>
      </c>
      <c r="C17" s="30" t="s">
        <v>85</v>
      </c>
      <c r="D17" s="1">
        <v>1</v>
      </c>
      <c r="E17" s="36">
        <v>20000</v>
      </c>
      <c r="F17" s="41">
        <v>0.2</v>
      </c>
      <c r="G17" s="348">
        <f>E17/(1-F17)</f>
        <v>25000</v>
      </c>
      <c r="H17" s="348">
        <f>(550*4)+3500</f>
        <v>5700</v>
      </c>
      <c r="I17" s="83">
        <v>0.15</v>
      </c>
      <c r="J17" s="79">
        <f>H17*(1+I17)</f>
        <v>6554.9999999999991</v>
      </c>
      <c r="K17" s="349">
        <f>J17*D17</f>
        <v>6554.9999999999991</v>
      </c>
      <c r="L17" s="350">
        <f>G17+J17</f>
        <v>31555</v>
      </c>
      <c r="M17" s="351">
        <f>D17*L17</f>
        <v>31555</v>
      </c>
      <c r="N17" s="258"/>
      <c r="O17" s="258"/>
    </row>
    <row r="18" spans="1:15" ht="14.5" customHeight="1" thickBot="1" x14ac:dyDescent="0.35">
      <c r="A18" s="341" t="s">
        <v>94</v>
      </c>
      <c r="B18" s="444" t="s">
        <v>416</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436"/>
      <c r="O18" s="369"/>
    </row>
    <row r="19" spans="1:15" ht="14.15" customHeight="1" x14ac:dyDescent="0.3">
      <c r="A19" s="359">
        <v>2.4</v>
      </c>
      <c r="B19" s="360"/>
      <c r="C19" s="255"/>
      <c r="D19" s="58" t="s">
        <v>96</v>
      </c>
      <c r="E19" s="56"/>
      <c r="F19" s="57"/>
      <c r="G19" s="361"/>
      <c r="H19" s="361"/>
      <c r="I19" s="56"/>
      <c r="J19" s="56"/>
      <c r="K19" s="362"/>
      <c r="L19" s="363"/>
      <c r="M19" s="363"/>
      <c r="N19" s="258"/>
      <c r="O19" s="258"/>
    </row>
    <row r="20" spans="1:15" ht="28" customHeight="1" x14ac:dyDescent="0.3">
      <c r="A20" s="370" t="s">
        <v>97</v>
      </c>
      <c r="B20" s="445" t="s">
        <v>418</v>
      </c>
      <c r="C20" s="7" t="s">
        <v>85</v>
      </c>
      <c r="D20" s="7">
        <v>1</v>
      </c>
      <c r="E20" s="37">
        <f>(337953.15*1.2)</f>
        <v>405543.78</v>
      </c>
      <c r="F20" s="41">
        <v>0.2</v>
      </c>
      <c r="G20" s="348">
        <f>E20/(1-F20)</f>
        <v>506929.72500000003</v>
      </c>
      <c r="H20" s="371">
        <f>(550*8)+3600</f>
        <v>8000</v>
      </c>
      <c r="I20" s="83">
        <v>0.15</v>
      </c>
      <c r="J20" s="79">
        <f>H20*(1+I20)</f>
        <v>9200</v>
      </c>
      <c r="K20" s="349">
        <f>J20*D20</f>
        <v>9200</v>
      </c>
      <c r="L20" s="350">
        <f>G20+J20</f>
        <v>516129.72500000003</v>
      </c>
      <c r="M20" s="351">
        <f>D20*L20</f>
        <v>516129.72500000003</v>
      </c>
      <c r="N20" s="258"/>
      <c r="O20" s="258"/>
    </row>
    <row r="21" spans="1:15" ht="14.15" customHeight="1" x14ac:dyDescent="0.3">
      <c r="A21" s="370"/>
      <c r="B21" s="443"/>
      <c r="C21" s="3"/>
      <c r="D21" s="7"/>
      <c r="E21" s="37"/>
      <c r="F21" s="41"/>
      <c r="G21" s="348"/>
      <c r="H21" s="371"/>
      <c r="I21" s="66"/>
      <c r="J21" s="66"/>
      <c r="K21" s="349"/>
      <c r="L21" s="350"/>
      <c r="M21" s="351"/>
      <c r="N21" s="258"/>
      <c r="O21" s="258"/>
    </row>
    <row r="22" spans="1:15" ht="14.15" customHeight="1" x14ac:dyDescent="0.3">
      <c r="A22" s="370" t="s">
        <v>99</v>
      </c>
      <c r="B22" s="443"/>
      <c r="C22" s="3"/>
      <c r="D22" s="7"/>
      <c r="E22" s="37"/>
      <c r="F22" s="41"/>
      <c r="G22" s="348"/>
      <c r="H22" s="371"/>
      <c r="I22" s="66"/>
      <c r="J22" s="66"/>
      <c r="K22" s="349"/>
      <c r="L22" s="350"/>
      <c r="M22" s="351"/>
      <c r="N22" s="258"/>
      <c r="O22" s="258"/>
    </row>
    <row r="23" spans="1:15" ht="28.5" customHeight="1" thickBot="1" x14ac:dyDescent="0.35">
      <c r="A23" s="374"/>
      <c r="B23" s="446" t="s">
        <v>100</v>
      </c>
      <c r="C23" s="68" t="s">
        <v>90</v>
      </c>
      <c r="D23" s="68">
        <v>1</v>
      </c>
      <c r="E23" s="69">
        <f>1888.71*1.15</f>
        <v>2172.0164999999997</v>
      </c>
      <c r="F23" s="52">
        <v>0.2</v>
      </c>
      <c r="G23" s="376">
        <f>E23/(1-F23)</f>
        <v>2715.0206249999997</v>
      </c>
      <c r="H23" s="377">
        <f>250*1</f>
        <v>250</v>
      </c>
      <c r="I23" s="83">
        <v>0.15</v>
      </c>
      <c r="J23" s="79">
        <f>H23*(1+I23)</f>
        <v>287.5</v>
      </c>
      <c r="K23" s="349">
        <f>J23*D23</f>
        <v>287.5</v>
      </c>
      <c r="L23" s="350">
        <f>G23+J23</f>
        <v>3002.5206249999997</v>
      </c>
      <c r="M23" s="378">
        <f>D23*L23</f>
        <v>3002.5206249999997</v>
      </c>
      <c r="N23" s="258"/>
      <c r="O23" s="258"/>
    </row>
    <row r="24" spans="1:15" ht="14.5" customHeight="1" thickBot="1" x14ac:dyDescent="0.35">
      <c r="A24" s="354"/>
      <c r="B24" s="441"/>
      <c r="C24" s="71"/>
      <c r="D24" s="72"/>
      <c r="E24" s="73"/>
      <c r="F24" s="74"/>
      <c r="G24" s="356"/>
      <c r="H24" s="356"/>
      <c r="I24" s="73"/>
      <c r="J24" s="73"/>
      <c r="K24" s="357"/>
      <c r="L24" s="358"/>
      <c r="M24" s="358"/>
      <c r="N24" s="258"/>
      <c r="O24" s="258"/>
    </row>
    <row r="25" spans="1:15" ht="14.15" customHeight="1" x14ac:dyDescent="0.3">
      <c r="A25" s="379">
        <v>2.5</v>
      </c>
      <c r="B25" s="360"/>
      <c r="C25" s="255"/>
      <c r="D25" s="58" t="s">
        <v>101</v>
      </c>
      <c r="E25" s="56"/>
      <c r="F25" s="57"/>
      <c r="G25" s="361"/>
      <c r="H25" s="361"/>
      <c r="I25" s="56"/>
      <c r="J25" s="56"/>
      <c r="K25" s="362"/>
      <c r="L25" s="363"/>
      <c r="M25" s="363"/>
      <c r="N25" s="258"/>
      <c r="O25" s="258"/>
    </row>
    <row r="26" spans="1:15" ht="14.15" customHeight="1" x14ac:dyDescent="0.3">
      <c r="A26" s="380" t="s">
        <v>102</v>
      </c>
      <c r="B26" s="444" t="s">
        <v>103</v>
      </c>
      <c r="C26" s="7" t="s">
        <v>85</v>
      </c>
      <c r="D26" s="7">
        <v>1</v>
      </c>
      <c r="E26" s="37">
        <v>650</v>
      </c>
      <c r="F26" s="41">
        <v>0.2</v>
      </c>
      <c r="G26" s="348">
        <f>E26/(1-F26)</f>
        <v>812.5</v>
      </c>
      <c r="H26" s="371">
        <f>(((5*200)*4)*1.2)/D26</f>
        <v>4800</v>
      </c>
      <c r="I26" s="83">
        <v>0.15</v>
      </c>
      <c r="J26" s="79">
        <f>H26*(1+I26)</f>
        <v>5520</v>
      </c>
      <c r="K26" s="349">
        <f>J26*D26</f>
        <v>5520</v>
      </c>
      <c r="L26" s="350">
        <f>G26+J26</f>
        <v>6332.5</v>
      </c>
      <c r="M26" s="351">
        <f>D26*L26</f>
        <v>6332.5</v>
      </c>
      <c r="N26" s="258"/>
      <c r="O26" s="258"/>
    </row>
    <row r="27" spans="1:15" ht="14.5" customHeight="1" thickBot="1" x14ac:dyDescent="0.35">
      <c r="A27" s="381"/>
      <c r="B27" s="446" t="s">
        <v>104</v>
      </c>
      <c r="C27" s="49"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441"/>
      <c r="C28" s="71"/>
      <c r="D28" s="72"/>
      <c r="E28" s="73"/>
      <c r="F28" s="74"/>
      <c r="G28" s="356"/>
      <c r="H28" s="356"/>
      <c r="I28" s="73"/>
      <c r="J28" s="73"/>
      <c r="K28" s="357"/>
      <c r="L28" s="358"/>
      <c r="M28" s="358"/>
      <c r="N28" s="258"/>
      <c r="O28" s="258"/>
    </row>
    <row r="29" spans="1:15" ht="14.15" customHeight="1" x14ac:dyDescent="0.3">
      <c r="A29" s="359">
        <v>2.6</v>
      </c>
      <c r="B29" s="360"/>
      <c r="C29" s="255"/>
      <c r="D29" s="58" t="s">
        <v>105</v>
      </c>
      <c r="E29" s="56"/>
      <c r="F29" s="57"/>
      <c r="G29" s="361"/>
      <c r="H29" s="361"/>
      <c r="I29" s="56"/>
      <c r="J29" s="56"/>
      <c r="K29" s="362"/>
      <c r="L29" s="363"/>
      <c r="M29" s="363"/>
      <c r="N29" s="258"/>
      <c r="O29" s="258"/>
    </row>
    <row r="30" spans="1:15" ht="42" customHeight="1" x14ac:dyDescent="0.3">
      <c r="A30" s="341" t="s">
        <v>106</v>
      </c>
      <c r="B30" s="444" t="s">
        <v>107</v>
      </c>
      <c r="C30" s="248" t="s">
        <v>108</v>
      </c>
      <c r="D30" s="1">
        <v>0</v>
      </c>
      <c r="E30" s="36">
        <f>14.85*1.15</f>
        <v>17.077499999999997</v>
      </c>
      <c r="F30" s="41">
        <v>0.2</v>
      </c>
      <c r="G30" s="348">
        <f>E30/(1-F30)</f>
        <v>21.346874999999994</v>
      </c>
      <c r="H30" s="348">
        <f>39</f>
        <v>39</v>
      </c>
      <c r="I30" s="83">
        <v>0.15</v>
      </c>
      <c r="J30" s="79">
        <f>H30*(1+I30)</f>
        <v>44.849999999999994</v>
      </c>
      <c r="K30" s="349">
        <f>J30*D30</f>
        <v>0</v>
      </c>
      <c r="L30" s="350">
        <f>G30+J30</f>
        <v>66.196874999999991</v>
      </c>
      <c r="M30" s="351">
        <f>D30*L30</f>
        <v>0</v>
      </c>
      <c r="N30" s="258"/>
      <c r="O30" s="258"/>
    </row>
    <row r="31" spans="1:15" ht="14.15" customHeight="1" x14ac:dyDescent="0.3">
      <c r="A31" s="341" t="s">
        <v>109</v>
      </c>
      <c r="B31" s="443" t="s">
        <v>110</v>
      </c>
      <c r="C31" s="30" t="s">
        <v>108</v>
      </c>
      <c r="D31" s="1">
        <f>8 +N("2m * 4 cables")</f>
        <v>8</v>
      </c>
      <c r="E31" s="36">
        <f>180*1.15</f>
        <v>206.99999999999997</v>
      </c>
      <c r="F31" s="41">
        <v>0.2</v>
      </c>
      <c r="G31" s="348">
        <f>E31/(1-F31)</f>
        <v>258.74999999999994</v>
      </c>
      <c r="H31" s="348">
        <f>65</f>
        <v>65</v>
      </c>
      <c r="I31" s="83">
        <v>0.15</v>
      </c>
      <c r="J31" s="79">
        <f>H31*(1+I31)</f>
        <v>74.75</v>
      </c>
      <c r="K31" s="349">
        <f>J31*D31</f>
        <v>598</v>
      </c>
      <c r="L31" s="350">
        <f>G31+J31</f>
        <v>333.49999999999994</v>
      </c>
      <c r="M31" s="351">
        <f>D31*L31</f>
        <v>2667.9999999999995</v>
      </c>
      <c r="N31" s="258"/>
      <c r="O31" s="258"/>
    </row>
    <row r="32" spans="1:15" ht="14.15" customHeight="1" x14ac:dyDescent="0.3">
      <c r="A32" s="341" t="s">
        <v>111</v>
      </c>
      <c r="B32" s="443" t="s">
        <v>112</v>
      </c>
      <c r="C32" s="30"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258"/>
    </row>
    <row r="33" spans="1:15" ht="14.5" customHeight="1" thickBot="1" x14ac:dyDescent="0.35">
      <c r="A33" s="381"/>
      <c r="B33" s="447" t="s">
        <v>113</v>
      </c>
      <c r="C33" s="49"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441"/>
      <c r="C34" s="71"/>
      <c r="D34" s="72"/>
      <c r="E34" s="73"/>
      <c r="F34" s="74"/>
      <c r="G34" s="356"/>
      <c r="H34" s="356"/>
      <c r="I34" s="73"/>
      <c r="J34" s="73"/>
      <c r="K34" s="357"/>
      <c r="L34" s="358"/>
      <c r="M34" s="358"/>
      <c r="N34" s="258"/>
      <c r="O34" s="258"/>
    </row>
    <row r="35" spans="1:15" ht="14.15" customHeight="1" x14ac:dyDescent="0.3">
      <c r="A35" s="359">
        <v>2.7</v>
      </c>
      <c r="B35" s="360"/>
      <c r="C35" s="255"/>
      <c r="D35" s="58" t="s">
        <v>114</v>
      </c>
      <c r="E35" s="56"/>
      <c r="F35" s="57"/>
      <c r="G35" s="361"/>
      <c r="H35" s="361"/>
      <c r="I35" s="56"/>
      <c r="J35" s="56"/>
      <c r="K35" s="362"/>
      <c r="L35" s="363"/>
      <c r="M35" s="363"/>
      <c r="N35" s="258"/>
      <c r="O35" s="258"/>
    </row>
    <row r="36" spans="1:15" ht="28" customHeight="1" x14ac:dyDescent="0.3">
      <c r="A36" s="370" t="s">
        <v>115</v>
      </c>
      <c r="B36" s="444" t="s">
        <v>116</v>
      </c>
      <c r="C36" s="7" t="s">
        <v>85</v>
      </c>
      <c r="D36" s="7">
        <v>0</v>
      </c>
      <c r="E36" s="37">
        <f>13501.37*1.2</f>
        <v>16201.644</v>
      </c>
      <c r="F36" s="41">
        <v>0.2</v>
      </c>
      <c r="G36" s="348">
        <f>E36/(1-F36)</f>
        <v>20252.055</v>
      </c>
      <c r="H36" s="371">
        <f>250*2</f>
        <v>500</v>
      </c>
      <c r="I36" s="83">
        <v>0.15</v>
      </c>
      <c r="J36" s="79">
        <f>H36*(1+I36)</f>
        <v>575</v>
      </c>
      <c r="K36" s="349">
        <f>J36*D36</f>
        <v>0</v>
      </c>
      <c r="L36" s="350">
        <f>G36+J36</f>
        <v>20827.055</v>
      </c>
      <c r="M36" s="351">
        <f>D36*L36</f>
        <v>0</v>
      </c>
      <c r="N36" s="258"/>
      <c r="O36" s="258"/>
    </row>
    <row r="37" spans="1:15" ht="28.5" customHeight="1" thickBot="1" x14ac:dyDescent="0.35">
      <c r="A37" s="381" t="s">
        <v>117</v>
      </c>
      <c r="B37" s="446" t="s">
        <v>118</v>
      </c>
      <c r="C37" s="68" t="s">
        <v>85</v>
      </c>
      <c r="D37" s="68">
        <v>0</v>
      </c>
      <c r="E37" s="69">
        <f>13501.37*1.2</f>
        <v>16201.644</v>
      </c>
      <c r="F37" s="52">
        <v>0.2</v>
      </c>
      <c r="G37" s="376">
        <f>E37/(1-F37)</f>
        <v>20252.055</v>
      </c>
      <c r="H37" s="377">
        <f>250*2</f>
        <v>500</v>
      </c>
      <c r="I37" s="83">
        <v>0.15</v>
      </c>
      <c r="J37" s="79">
        <f>H37*(1+I37)</f>
        <v>575</v>
      </c>
      <c r="K37" s="382">
        <f>J37*D37</f>
        <v>0</v>
      </c>
      <c r="L37" s="350">
        <f>G37+J37</f>
        <v>20827.055</v>
      </c>
      <c r="M37" s="378">
        <f>D37*L37</f>
        <v>0</v>
      </c>
      <c r="N37" s="258"/>
      <c r="O37" s="258"/>
    </row>
    <row r="38" spans="1:15" ht="14.5" customHeight="1" thickBot="1" x14ac:dyDescent="0.35">
      <c r="A38" s="354"/>
      <c r="B38" s="441"/>
      <c r="C38" s="71"/>
      <c r="D38" s="72"/>
      <c r="E38" s="73"/>
      <c r="F38" s="74"/>
      <c r="G38" s="356"/>
      <c r="H38" s="356"/>
      <c r="I38" s="73"/>
      <c r="J38" s="73"/>
      <c r="K38" s="357"/>
      <c r="L38" s="358"/>
      <c r="M38" s="358"/>
      <c r="N38" s="258"/>
      <c r="O38" s="258"/>
    </row>
    <row r="39" spans="1:15" ht="16.5" customHeight="1" x14ac:dyDescent="0.3">
      <c r="A39" s="359">
        <v>2.8</v>
      </c>
      <c r="B39" s="360"/>
      <c r="C39" s="255"/>
      <c r="D39" s="58" t="s">
        <v>119</v>
      </c>
      <c r="E39" s="56"/>
      <c r="F39" s="57"/>
      <c r="G39" s="361"/>
      <c r="H39" s="361"/>
      <c r="I39" s="56"/>
      <c r="J39" s="56"/>
      <c r="K39" s="362"/>
      <c r="L39" s="363"/>
      <c r="M39" s="363"/>
      <c r="N39" s="258"/>
      <c r="O39" s="258"/>
    </row>
    <row r="40" spans="1:15" ht="16.5" customHeight="1" x14ac:dyDescent="0.3">
      <c r="A40" s="384"/>
      <c r="B40" s="342"/>
      <c r="C40" s="30"/>
      <c r="D40" s="1"/>
      <c r="E40" s="36"/>
      <c r="F40" s="41"/>
      <c r="G40" s="348"/>
      <c r="H40" s="348"/>
      <c r="I40" s="83"/>
      <c r="J40" s="79"/>
      <c r="K40" s="349"/>
      <c r="L40" s="350"/>
      <c r="M40" s="351"/>
      <c r="N40" s="258"/>
      <c r="O40" s="258"/>
    </row>
    <row r="41" spans="1:15" ht="14.15" customHeight="1" x14ac:dyDescent="0.3">
      <c r="A41" s="341" t="s">
        <v>120</v>
      </c>
      <c r="B41" s="385" t="s">
        <v>121</v>
      </c>
      <c r="C41" s="30" t="s">
        <v>85</v>
      </c>
      <c r="D41" s="1">
        <f>2 + N("AC in, AC Out")</f>
        <v>2</v>
      </c>
      <c r="E41" s="36">
        <v>2500</v>
      </c>
      <c r="F41" s="41">
        <v>0.2</v>
      </c>
      <c r="G41" s="348">
        <f>E41/(1-F41)</f>
        <v>3125</v>
      </c>
      <c r="H41" s="348">
        <f>(250+100)*4</f>
        <v>1400</v>
      </c>
      <c r="I41" s="83">
        <v>0.15</v>
      </c>
      <c r="J41" s="79">
        <f>H41*(1+I41)</f>
        <v>1609.9999999999998</v>
      </c>
      <c r="K41" s="349">
        <f>J41*D41</f>
        <v>3219.9999999999995</v>
      </c>
      <c r="L41" s="350">
        <f>G41+J41</f>
        <v>4735</v>
      </c>
      <c r="M41" s="351">
        <f>D41*L41</f>
        <v>9470</v>
      </c>
      <c r="N41" s="258"/>
      <c r="O41" s="258"/>
    </row>
    <row r="42" spans="1:15" ht="14.15" customHeight="1" x14ac:dyDescent="0.3">
      <c r="A42" s="341"/>
      <c r="B42" s="448"/>
      <c r="C42" s="27"/>
      <c r="D42" s="1"/>
      <c r="E42" s="36"/>
      <c r="F42" s="41"/>
      <c r="G42" s="348"/>
      <c r="H42" s="348"/>
      <c r="I42" s="79"/>
      <c r="J42" s="79"/>
      <c r="K42" s="349"/>
      <c r="L42" s="350"/>
      <c r="M42" s="351"/>
      <c r="N42" s="258"/>
      <c r="O42" s="258"/>
    </row>
    <row r="43" spans="1:15" ht="14.15" customHeight="1" x14ac:dyDescent="0.3">
      <c r="A43" s="341" t="s">
        <v>122</v>
      </c>
      <c r="B43" s="385" t="s">
        <v>123</v>
      </c>
      <c r="C43" s="30" t="s">
        <v>85</v>
      </c>
      <c r="D43" s="1">
        <v>0</v>
      </c>
      <c r="E43" s="36">
        <v>1800</v>
      </c>
      <c r="F43" s="41">
        <v>0.2</v>
      </c>
      <c r="G43" s="348">
        <f>E43/(1-F43)</f>
        <v>2250</v>
      </c>
      <c r="H43" s="348">
        <f>(250+100)*4</f>
        <v>1400</v>
      </c>
      <c r="I43" s="83">
        <v>0.15</v>
      </c>
      <c r="J43" s="79">
        <f>H43*(1+I43)</f>
        <v>1609.9999999999998</v>
      </c>
      <c r="K43" s="349">
        <f>J43*D43</f>
        <v>0</v>
      </c>
      <c r="L43" s="350">
        <f>G43+J43</f>
        <v>3860</v>
      </c>
      <c r="M43" s="351">
        <f>D43*L43</f>
        <v>0</v>
      </c>
      <c r="N43" s="258"/>
      <c r="O43" s="258"/>
    </row>
    <row r="44" spans="1:15" ht="14.15" customHeight="1" x14ac:dyDescent="0.3">
      <c r="A44" s="341"/>
      <c r="B44" s="385"/>
      <c r="C44" s="30"/>
      <c r="D44" s="1"/>
      <c r="E44" s="36"/>
      <c r="F44" s="41"/>
      <c r="G44" s="348"/>
      <c r="H44" s="348"/>
      <c r="I44" s="79"/>
      <c r="J44" s="79"/>
      <c r="K44" s="349"/>
      <c r="L44" s="350"/>
      <c r="M44" s="351"/>
      <c r="N44" s="258"/>
      <c r="O44" s="258"/>
    </row>
    <row r="45" spans="1:15" ht="14.15" customHeight="1" x14ac:dyDescent="0.3">
      <c r="A45" s="341" t="s">
        <v>124</v>
      </c>
      <c r="B45" s="385" t="s">
        <v>125</v>
      </c>
      <c r="C45" s="30" t="s">
        <v>85</v>
      </c>
      <c r="D45" s="1">
        <f>2 + N("Isolators: AC in, AC out")</f>
        <v>2</v>
      </c>
      <c r="E45" s="36">
        <f>550*1.2</f>
        <v>660</v>
      </c>
      <c r="F45" s="41">
        <v>0.2</v>
      </c>
      <c r="G45" s="348">
        <f>E45/(1-F45)</f>
        <v>825</v>
      </c>
      <c r="H45" s="348">
        <f>(250+100)*4</f>
        <v>1400</v>
      </c>
      <c r="I45" s="83">
        <v>0.15</v>
      </c>
      <c r="J45" s="79">
        <f>H45*(1+I45)</f>
        <v>1609.9999999999998</v>
      </c>
      <c r="K45" s="349">
        <f>J45*D45</f>
        <v>3219.9999999999995</v>
      </c>
      <c r="L45" s="350">
        <f>G45+J45</f>
        <v>2435</v>
      </c>
      <c r="M45" s="351">
        <f>D45*L45</f>
        <v>4870</v>
      </c>
      <c r="N45" s="258"/>
      <c r="O45" s="258"/>
    </row>
    <row r="46" spans="1:15" ht="14.15" customHeight="1" x14ac:dyDescent="0.3">
      <c r="A46" s="341"/>
      <c r="B46" s="387"/>
      <c r="C46" s="27"/>
      <c r="D46" s="1"/>
      <c r="E46" s="36"/>
      <c r="F46" s="41"/>
      <c r="G46" s="348"/>
      <c r="H46" s="348"/>
      <c r="I46" s="79"/>
      <c r="J46" s="79"/>
      <c r="K46" s="349"/>
      <c r="L46" s="350"/>
      <c r="M46" s="351"/>
      <c r="N46" s="258"/>
      <c r="O46" s="258"/>
    </row>
    <row r="47" spans="1:15" ht="14.5" customHeight="1" thickBot="1" x14ac:dyDescent="0.35">
      <c r="A47" s="381" t="s">
        <v>126</v>
      </c>
      <c r="B47" s="388" t="s">
        <v>127</v>
      </c>
      <c r="C47" s="49" t="s">
        <v>85</v>
      </c>
      <c r="D47" s="50">
        <v>1</v>
      </c>
      <c r="E47" s="51">
        <f>550*1.2</f>
        <v>660</v>
      </c>
      <c r="F47" s="52">
        <v>0.2</v>
      </c>
      <c r="G47" s="376">
        <f>E47/(1-F47)</f>
        <v>825</v>
      </c>
      <c r="H47" s="376">
        <f>(250+100)*4</f>
        <v>1400</v>
      </c>
      <c r="I47" s="83">
        <v>0.15</v>
      </c>
      <c r="J47" s="79">
        <f>H47*(1+I47)</f>
        <v>1609.9999999999998</v>
      </c>
      <c r="K47" s="349">
        <f>J47*D47</f>
        <v>1609.9999999999998</v>
      </c>
      <c r="L47" s="350">
        <f>G47+J47</f>
        <v>2435</v>
      </c>
      <c r="M47" s="378">
        <f>D47*L47</f>
        <v>2435</v>
      </c>
      <c r="N47" s="258"/>
      <c r="O47" s="258"/>
    </row>
    <row r="48" spans="1:15" ht="14.5" customHeight="1" thickBot="1" x14ac:dyDescent="0.35">
      <c r="A48" s="354"/>
      <c r="B48" s="441"/>
      <c r="C48" s="71"/>
      <c r="D48" s="72"/>
      <c r="E48" s="73"/>
      <c r="F48" s="74"/>
      <c r="G48" s="356"/>
      <c r="H48" s="356"/>
      <c r="I48" s="73"/>
      <c r="J48" s="73"/>
      <c r="K48" s="357"/>
      <c r="L48" s="358"/>
      <c r="M48" s="358"/>
      <c r="N48" s="258"/>
      <c r="O48" s="258"/>
    </row>
    <row r="49" spans="1:15" ht="16.5" customHeight="1" x14ac:dyDescent="0.3">
      <c r="A49" s="359">
        <v>2.9</v>
      </c>
      <c r="B49" s="367"/>
      <c r="C49" s="255"/>
      <c r="D49" s="58" t="s">
        <v>128</v>
      </c>
      <c r="E49" s="56"/>
      <c r="F49" s="57"/>
      <c r="G49" s="361"/>
      <c r="H49" s="361"/>
      <c r="I49" s="56"/>
      <c r="J49" s="56"/>
      <c r="K49" s="362"/>
      <c r="L49" s="363"/>
      <c r="M49" s="363"/>
      <c r="N49" s="258"/>
      <c r="O49" s="258"/>
    </row>
    <row r="50" spans="1:15" ht="16.5" customHeight="1" x14ac:dyDescent="0.3">
      <c r="A50" s="341"/>
      <c r="B50" s="342"/>
      <c r="C50" s="30"/>
      <c r="D50" s="1"/>
      <c r="E50" s="36"/>
      <c r="F50" s="41"/>
      <c r="G50" s="348"/>
      <c r="H50" s="348"/>
      <c r="I50" s="79"/>
      <c r="J50" s="79"/>
      <c r="K50" s="349"/>
      <c r="L50" s="350"/>
      <c r="M50" s="351"/>
      <c r="N50" s="258"/>
      <c r="O50" s="258"/>
    </row>
    <row r="51" spans="1:15" ht="14.15" customHeight="1" x14ac:dyDescent="0.3">
      <c r="A51" s="341" t="s">
        <v>129</v>
      </c>
      <c r="B51" s="385" t="s">
        <v>130</v>
      </c>
      <c r="C51" s="30" t="s">
        <v>85</v>
      </c>
      <c r="D51" s="1">
        <v>0</v>
      </c>
      <c r="E51" s="36">
        <v>2500</v>
      </c>
      <c r="F51" s="41">
        <v>0.2</v>
      </c>
      <c r="G51" s="348">
        <f>E51/(1-F51)</f>
        <v>3125</v>
      </c>
      <c r="H51" s="348">
        <f>250*1</f>
        <v>250</v>
      </c>
      <c r="I51" s="83">
        <v>0.15</v>
      </c>
      <c r="J51" s="79">
        <f>H51*(1+I51)</f>
        <v>287.5</v>
      </c>
      <c r="K51" s="349">
        <f>J51*D51</f>
        <v>0</v>
      </c>
      <c r="L51" s="350">
        <f>G51+J51</f>
        <v>3412.5</v>
      </c>
      <c r="M51" s="351">
        <f>D51*L51</f>
        <v>0</v>
      </c>
      <c r="N51" s="258"/>
      <c r="O51" s="258"/>
    </row>
    <row r="52" spans="1:15" ht="14.15" customHeight="1" x14ac:dyDescent="0.3">
      <c r="A52" s="341"/>
      <c r="B52" s="385"/>
      <c r="C52" s="30"/>
      <c r="D52" s="1"/>
      <c r="E52" s="36"/>
      <c r="F52" s="41"/>
      <c r="G52" s="348"/>
      <c r="H52" s="348"/>
      <c r="I52" s="79"/>
      <c r="J52" s="79"/>
      <c r="K52" s="349"/>
      <c r="L52" s="350"/>
      <c r="M52" s="351"/>
      <c r="N52" s="258"/>
      <c r="O52" s="258"/>
    </row>
    <row r="53" spans="1:15" ht="14.15" customHeight="1" x14ac:dyDescent="0.3">
      <c r="A53" s="341" t="s">
        <v>131</v>
      </c>
      <c r="B53" s="385" t="s">
        <v>132</v>
      </c>
      <c r="C53" s="30" t="s">
        <v>85</v>
      </c>
      <c r="D53" s="1">
        <f>2 + N("AC in, AC out")</f>
        <v>2</v>
      </c>
      <c r="E53" s="36">
        <v>5729</v>
      </c>
      <c r="F53" s="41">
        <v>0.2</v>
      </c>
      <c r="G53" s="348">
        <f>E53/(1-F53)</f>
        <v>7161.25</v>
      </c>
      <c r="H53" s="348">
        <v>250</v>
      </c>
      <c r="I53" s="83">
        <v>0.15</v>
      </c>
      <c r="J53" s="79">
        <f>H53*(1+I53)</f>
        <v>287.5</v>
      </c>
      <c r="K53" s="349">
        <f>J53*D53</f>
        <v>575</v>
      </c>
      <c r="L53" s="350">
        <f>G53+J53</f>
        <v>7448.75</v>
      </c>
      <c r="M53" s="351">
        <f>D53*L53</f>
        <v>14897.5</v>
      </c>
      <c r="N53" s="258"/>
      <c r="O53" s="258"/>
    </row>
    <row r="54" spans="1:15" ht="14.15" customHeight="1" x14ac:dyDescent="0.3">
      <c r="A54" s="341"/>
      <c r="B54" s="387"/>
      <c r="C54" s="27"/>
      <c r="D54" s="1"/>
      <c r="E54" s="36"/>
      <c r="F54" s="41"/>
      <c r="G54" s="348"/>
      <c r="H54" s="348"/>
      <c r="I54" s="79"/>
      <c r="J54" s="79"/>
      <c r="K54" s="349"/>
      <c r="L54" s="350"/>
      <c r="M54" s="351"/>
      <c r="N54" s="258"/>
      <c r="O54" s="258"/>
    </row>
    <row r="55" spans="1:15" ht="14.15" customHeight="1" x14ac:dyDescent="0.3">
      <c r="A55" s="341" t="s">
        <v>133</v>
      </c>
      <c r="B55" s="387" t="s">
        <v>134</v>
      </c>
      <c r="C55" s="30" t="s">
        <v>85</v>
      </c>
      <c r="D55" s="1">
        <v>1</v>
      </c>
      <c r="E55" s="36">
        <f>5729</f>
        <v>5729</v>
      </c>
      <c r="F55" s="41">
        <v>0.2</v>
      </c>
      <c r="G55" s="348">
        <f>E55/(1-F55)</f>
        <v>7161.25</v>
      </c>
      <c r="H55" s="348">
        <v>250</v>
      </c>
      <c r="I55" s="83">
        <v>0.15</v>
      </c>
      <c r="J55" s="79">
        <f>H55*(1+I55)</f>
        <v>287.5</v>
      </c>
      <c r="K55" s="349">
        <f>J55*D55</f>
        <v>287.5</v>
      </c>
      <c r="L55" s="350">
        <f>G55+J55</f>
        <v>7448.75</v>
      </c>
      <c r="M55" s="351">
        <f>D55*L55</f>
        <v>7448.75</v>
      </c>
      <c r="N55" s="258"/>
      <c r="O55" s="258"/>
    </row>
    <row r="56" spans="1:15" ht="14.15" customHeight="1" x14ac:dyDescent="0.3">
      <c r="A56" s="341"/>
      <c r="B56" s="387"/>
      <c r="C56" s="29"/>
      <c r="D56" s="1"/>
      <c r="E56" s="36"/>
      <c r="F56" s="41"/>
      <c r="G56" s="348"/>
      <c r="H56" s="348"/>
      <c r="I56" s="79"/>
      <c r="J56" s="79"/>
      <c r="K56" s="349"/>
      <c r="L56" s="350"/>
      <c r="M56" s="351"/>
      <c r="N56" s="258"/>
      <c r="O56" s="258"/>
    </row>
    <row r="57" spans="1:15" ht="28" customHeight="1" x14ac:dyDescent="0.3">
      <c r="A57" s="341" t="s">
        <v>135</v>
      </c>
      <c r="B57" s="385" t="s">
        <v>136</v>
      </c>
      <c r="C57" s="248" t="s">
        <v>85</v>
      </c>
      <c r="D57" s="1">
        <v>3</v>
      </c>
      <c r="E57" s="36">
        <v>350</v>
      </c>
      <c r="F57" s="41">
        <v>0.2</v>
      </c>
      <c r="G57" s="348">
        <f>E57/(1-F57)</f>
        <v>437.5</v>
      </c>
      <c r="H57" s="348">
        <v>250</v>
      </c>
      <c r="I57" s="83">
        <v>0.15</v>
      </c>
      <c r="J57" s="79">
        <f>H57*(1+I57)</f>
        <v>287.5</v>
      </c>
      <c r="K57" s="349">
        <f>J57*D57</f>
        <v>862.5</v>
      </c>
      <c r="L57" s="350">
        <f>G57+J57</f>
        <v>725</v>
      </c>
      <c r="M57" s="351">
        <f>D57*L57</f>
        <v>2175</v>
      </c>
      <c r="N57" s="258"/>
      <c r="O57" s="258"/>
    </row>
    <row r="58" spans="1:15" ht="14.15" customHeight="1" x14ac:dyDescent="0.3">
      <c r="A58" s="341"/>
      <c r="B58" s="387"/>
      <c r="C58" s="27"/>
      <c r="D58" s="1"/>
      <c r="E58" s="36"/>
      <c r="F58" s="41"/>
      <c r="G58" s="348"/>
      <c r="H58" s="348"/>
      <c r="I58" s="79"/>
      <c r="J58" s="79"/>
      <c r="K58" s="349"/>
      <c r="L58" s="350"/>
      <c r="M58" s="351"/>
      <c r="N58" s="258"/>
      <c r="O58" s="258"/>
    </row>
    <row r="59" spans="1:15" ht="14.15" customHeight="1" x14ac:dyDescent="0.3">
      <c r="A59" s="341" t="s">
        <v>137</v>
      </c>
      <c r="B59" s="385" t="s">
        <v>138</v>
      </c>
      <c r="C59" s="248" t="s">
        <v>108</v>
      </c>
      <c r="D59" s="1">
        <v>20</v>
      </c>
      <c r="E59" s="36">
        <f>35</f>
        <v>35</v>
      </c>
      <c r="F59" s="41">
        <v>0.2</v>
      </c>
      <c r="G59" s="348">
        <f>E59/(1-F59)</f>
        <v>43.75</v>
      </c>
      <c r="H59" s="348">
        <f>(65*3)</f>
        <v>195</v>
      </c>
      <c r="I59" s="83">
        <v>0.15</v>
      </c>
      <c r="J59" s="79">
        <f>H59*(1+I59)</f>
        <v>224.24999999999997</v>
      </c>
      <c r="K59" s="349">
        <f>J59*D59</f>
        <v>4484.9999999999991</v>
      </c>
      <c r="L59" s="350">
        <f>G59+J59</f>
        <v>268</v>
      </c>
      <c r="M59" s="351">
        <f>D59*L59</f>
        <v>5360</v>
      </c>
      <c r="N59" s="258"/>
      <c r="O59" s="258"/>
    </row>
    <row r="60" spans="1:15" ht="14.15" customHeight="1" x14ac:dyDescent="0.3">
      <c r="A60" s="341"/>
      <c r="B60" s="387"/>
      <c r="C60" s="29"/>
      <c r="D60" s="1"/>
      <c r="E60" s="36"/>
      <c r="F60" s="41"/>
      <c r="G60" s="348"/>
      <c r="H60" s="348"/>
      <c r="I60" s="79"/>
      <c r="J60" s="79"/>
      <c r="K60" s="349"/>
      <c r="L60" s="350"/>
      <c r="M60" s="351"/>
      <c r="N60" s="258"/>
      <c r="O60" s="258"/>
    </row>
    <row r="61" spans="1:15" ht="14.5" customHeight="1" thickBot="1" x14ac:dyDescent="0.35">
      <c r="A61" s="341" t="s">
        <v>139</v>
      </c>
      <c r="B61" s="385" t="s">
        <v>140</v>
      </c>
      <c r="C61" s="30" t="s">
        <v>42</v>
      </c>
      <c r="D61" s="1">
        <v>1</v>
      </c>
      <c r="E61" s="36">
        <v>1</v>
      </c>
      <c r="F61" s="41">
        <v>0.2</v>
      </c>
      <c r="G61" s="348">
        <f>E61/(1-F61)</f>
        <v>1.25</v>
      </c>
      <c r="H61" s="348">
        <f>2500*3</f>
        <v>7500</v>
      </c>
      <c r="I61" s="83">
        <v>0.15</v>
      </c>
      <c r="J61" s="79">
        <f>H61*(1+I61)</f>
        <v>8625</v>
      </c>
      <c r="K61" s="349">
        <f>J61*D61</f>
        <v>8625</v>
      </c>
      <c r="L61" s="350">
        <f>G61+J61</f>
        <v>8626.25</v>
      </c>
      <c r="M61" s="351">
        <f>D61*L61</f>
        <v>8626.25</v>
      </c>
      <c r="N61" s="258"/>
      <c r="O61" s="258"/>
    </row>
    <row r="62" spans="1:15" ht="14.5" customHeight="1" thickBot="1" x14ac:dyDescent="0.35">
      <c r="A62" s="354"/>
      <c r="B62" s="441"/>
      <c r="C62" s="71"/>
      <c r="D62" s="72"/>
      <c r="E62" s="73"/>
      <c r="F62" s="74"/>
      <c r="G62" s="356"/>
      <c r="H62" s="356"/>
      <c r="I62" s="73"/>
      <c r="J62" s="73"/>
      <c r="K62" s="357"/>
      <c r="L62" s="358"/>
      <c r="M62" s="358"/>
      <c r="N62" s="258"/>
      <c r="O62" s="258"/>
    </row>
    <row r="63" spans="1:15" ht="14.15" customHeight="1" x14ac:dyDescent="0.3">
      <c r="A63" s="389">
        <v>2.1</v>
      </c>
      <c r="B63" s="390"/>
      <c r="C63" s="251"/>
      <c r="D63" s="65" t="s">
        <v>141</v>
      </c>
      <c r="E63" s="53"/>
      <c r="F63" s="54"/>
      <c r="G63" s="391"/>
      <c r="H63" s="391"/>
      <c r="I63" s="53"/>
      <c r="J63" s="53"/>
      <c r="K63" s="392"/>
      <c r="L63" s="393"/>
      <c r="M63" s="393"/>
      <c r="N63" s="258"/>
      <c r="O63" s="258"/>
    </row>
    <row r="64" spans="1:15" ht="28" customHeight="1" x14ac:dyDescent="0.3">
      <c r="A64" s="370" t="s">
        <v>142</v>
      </c>
      <c r="B64" s="444" t="s">
        <v>143</v>
      </c>
      <c r="C64" s="7" t="s">
        <v>85</v>
      </c>
      <c r="D64" s="7">
        <v>2</v>
      </c>
      <c r="E64" s="37">
        <v>10000</v>
      </c>
      <c r="F64" s="41">
        <v>0.16</v>
      </c>
      <c r="G64" s="348">
        <f>E64/(1-F64)</f>
        <v>11904.761904761905</v>
      </c>
      <c r="H64" s="371">
        <v>200</v>
      </c>
      <c r="I64" s="83">
        <v>0.15</v>
      </c>
      <c r="J64" s="79">
        <f>H64*(1+I64)</f>
        <v>229.99999999999997</v>
      </c>
      <c r="K64" s="349">
        <f>J64*D64</f>
        <v>459.99999999999994</v>
      </c>
      <c r="L64" s="350">
        <f>G64+J64</f>
        <v>12134.761904761905</v>
      </c>
      <c r="M64" s="351">
        <f>D64*L64</f>
        <v>24269.523809523809</v>
      </c>
      <c r="N64" s="258"/>
      <c r="O64" s="258"/>
    </row>
    <row r="65" spans="1:15" ht="14.15" customHeight="1" x14ac:dyDescent="0.3">
      <c r="A65" s="394"/>
      <c r="B65" s="395"/>
      <c r="C65" s="30"/>
      <c r="D65" s="248"/>
      <c r="E65" s="36"/>
      <c r="F65" s="41"/>
      <c r="G65" s="348"/>
      <c r="H65" s="348"/>
      <c r="I65" s="79"/>
      <c r="J65" s="79"/>
      <c r="K65" s="349"/>
      <c r="L65" s="350"/>
      <c r="M65" s="351"/>
      <c r="N65" s="258"/>
      <c r="O65" s="258"/>
    </row>
    <row r="66" spans="1:15" ht="28.5" customHeight="1" thickBot="1" x14ac:dyDescent="0.35">
      <c r="A66" s="396" t="s">
        <v>144</v>
      </c>
      <c r="B66" s="446" t="s">
        <v>145</v>
      </c>
      <c r="C66" s="68" t="s">
        <v>85</v>
      </c>
      <c r="D66" s="68">
        <v>0</v>
      </c>
      <c r="E66" s="69">
        <v>7500</v>
      </c>
      <c r="F66" s="52">
        <v>0.16</v>
      </c>
      <c r="G66" s="376">
        <f>E66/(1-F66)</f>
        <v>8928.5714285714294</v>
      </c>
      <c r="H66" s="377">
        <v>200</v>
      </c>
      <c r="I66" s="83">
        <v>0.15</v>
      </c>
      <c r="J66" s="79">
        <f>H66*(1+I66)</f>
        <v>229.99999999999997</v>
      </c>
      <c r="K66" s="382">
        <f>J66*D66</f>
        <v>0</v>
      </c>
      <c r="L66" s="350">
        <f>G66+J66</f>
        <v>9158.5714285714294</v>
      </c>
      <c r="M66" s="378">
        <f>D66*L66</f>
        <v>0</v>
      </c>
      <c r="N66" s="258"/>
      <c r="O66" s="258"/>
    </row>
    <row r="67" spans="1:15" ht="14.5" customHeight="1" thickBot="1" x14ac:dyDescent="0.35">
      <c r="A67" s="397"/>
      <c r="B67" s="449"/>
      <c r="C67" s="71"/>
      <c r="D67" s="72"/>
      <c r="E67" s="73"/>
      <c r="F67" s="74"/>
      <c r="G67" s="356"/>
      <c r="H67" s="356"/>
      <c r="I67" s="73"/>
      <c r="J67" s="73"/>
      <c r="K67" s="357"/>
      <c r="L67" s="358"/>
      <c r="M67" s="358"/>
      <c r="N67" s="258"/>
      <c r="O67" s="258"/>
    </row>
    <row r="68" spans="1:15" ht="14.15" customHeight="1" x14ac:dyDescent="0.3">
      <c r="A68" s="359">
        <v>2.11</v>
      </c>
      <c r="B68" s="450"/>
      <c r="C68" s="75"/>
      <c r="D68" s="58" t="s">
        <v>146</v>
      </c>
      <c r="E68" s="56"/>
      <c r="F68" s="57"/>
      <c r="G68" s="361"/>
      <c r="H68" s="361"/>
      <c r="I68" s="56"/>
      <c r="J68" s="56"/>
      <c r="K68" s="362"/>
      <c r="L68" s="363"/>
      <c r="M68" s="363"/>
      <c r="N68" s="258"/>
      <c r="O68" s="258"/>
    </row>
    <row r="69" spans="1:15" ht="14.15" customHeight="1" x14ac:dyDescent="0.3">
      <c r="A69" s="341"/>
      <c r="B69" s="444"/>
      <c r="C69" s="70"/>
      <c r="D69" s="1"/>
      <c r="E69" s="36"/>
      <c r="F69" s="41"/>
      <c r="G69" s="348"/>
      <c r="H69" s="348"/>
      <c r="I69" s="79"/>
      <c r="J69" s="79"/>
      <c r="K69" s="349"/>
      <c r="L69" s="350"/>
      <c r="M69" s="351"/>
      <c r="N69" s="258"/>
      <c r="O69" s="258"/>
    </row>
    <row r="70" spans="1:15" ht="14.15" customHeight="1" x14ac:dyDescent="0.3">
      <c r="A70" s="341"/>
      <c r="B70" s="443" t="s">
        <v>147</v>
      </c>
      <c r="C70" s="27"/>
      <c r="D70" s="1"/>
      <c r="E70" s="36"/>
      <c r="F70" s="41"/>
      <c r="G70" s="348"/>
      <c r="H70" s="348"/>
      <c r="I70" s="79"/>
      <c r="J70" s="79"/>
      <c r="K70" s="349"/>
      <c r="L70" s="350"/>
      <c r="M70" s="351"/>
      <c r="N70" s="258"/>
      <c r="O70" s="258"/>
    </row>
    <row r="71" spans="1:15" ht="14.15" customHeight="1" x14ac:dyDescent="0.3">
      <c r="A71" s="341"/>
      <c r="B71" s="448"/>
      <c r="C71" s="27"/>
      <c r="D71" s="1"/>
      <c r="E71" s="36"/>
      <c r="F71" s="41"/>
      <c r="G71" s="348"/>
      <c r="H71" s="348"/>
      <c r="I71" s="79"/>
      <c r="J71" s="79"/>
      <c r="K71" s="349"/>
      <c r="L71" s="350"/>
      <c r="M71" s="351"/>
      <c r="N71" s="258"/>
      <c r="O71" s="258"/>
    </row>
    <row r="72" spans="1:15" ht="42" customHeight="1" x14ac:dyDescent="0.3">
      <c r="A72" s="341"/>
      <c r="B72" s="448" t="s">
        <v>148</v>
      </c>
      <c r="C72" s="27"/>
      <c r="D72" s="248"/>
      <c r="E72" s="36"/>
      <c r="F72" s="41"/>
      <c r="G72" s="348"/>
      <c r="H72" s="348"/>
      <c r="I72" s="79"/>
      <c r="J72" s="79"/>
      <c r="K72" s="349"/>
      <c r="L72" s="350"/>
      <c r="M72" s="351"/>
      <c r="N72" s="258"/>
      <c r="O72" s="258"/>
    </row>
    <row r="73" spans="1:15" ht="14.15" customHeight="1" x14ac:dyDescent="0.3">
      <c r="A73" s="384"/>
      <c r="B73" s="443"/>
      <c r="C73" s="27"/>
      <c r="D73" s="28"/>
      <c r="E73" s="38"/>
      <c r="F73" s="41"/>
      <c r="G73" s="348"/>
      <c r="H73" s="400"/>
      <c r="I73" s="81"/>
      <c r="J73" s="81"/>
      <c r="K73" s="349"/>
      <c r="L73" s="350"/>
      <c r="M73" s="351"/>
      <c r="N73" s="258"/>
      <c r="O73" s="258"/>
    </row>
    <row r="74" spans="1:15" ht="14.15" customHeight="1" x14ac:dyDescent="0.3">
      <c r="A74" s="341" t="s">
        <v>149</v>
      </c>
      <c r="B74" s="443" t="s">
        <v>150</v>
      </c>
      <c r="C74" s="27" t="s">
        <v>108</v>
      </c>
      <c r="D74" s="1">
        <v>0</v>
      </c>
      <c r="E74" s="36">
        <v>947.75</v>
      </c>
      <c r="F74" s="41">
        <v>0.25</v>
      </c>
      <c r="G74" s="348">
        <f t="shared" ref="G74:G79" si="0">E74/(1-F74)</f>
        <v>1263.6666666666667</v>
      </c>
      <c r="H74" s="348">
        <v>25</v>
      </c>
      <c r="I74" s="83">
        <v>0.15</v>
      </c>
      <c r="J74" s="79">
        <f t="shared" ref="J74:J79" si="1">H74*(1+I74)</f>
        <v>28.749999999999996</v>
      </c>
      <c r="K74" s="349">
        <f t="shared" ref="K74:K79" si="2">J74*D74</f>
        <v>0</v>
      </c>
      <c r="L74" s="350">
        <f t="shared" ref="L74:L79" si="3">G74+J74</f>
        <v>1292.4166666666667</v>
      </c>
      <c r="M74" s="351">
        <f t="shared" ref="M74:M79" si="4">D74*L74</f>
        <v>0</v>
      </c>
      <c r="N74" s="258"/>
      <c r="O74" s="258"/>
    </row>
    <row r="75" spans="1:15" ht="14.15" customHeight="1" x14ac:dyDescent="0.3">
      <c r="A75" s="341" t="s">
        <v>151</v>
      </c>
      <c r="B75" s="443" t="s">
        <v>152</v>
      </c>
      <c r="C75" s="27" t="s">
        <v>108</v>
      </c>
      <c r="D75" s="1">
        <f>4 + N("2m per 2 DB's with 50m2 incomers")</f>
        <v>4</v>
      </c>
      <c r="E75" s="36">
        <v>686.12</v>
      </c>
      <c r="F75" s="41">
        <v>0.25</v>
      </c>
      <c r="G75" s="348">
        <f t="shared" si="0"/>
        <v>914.82666666666671</v>
      </c>
      <c r="H75" s="348">
        <v>25</v>
      </c>
      <c r="I75" s="83">
        <v>0.15</v>
      </c>
      <c r="J75" s="79">
        <f t="shared" si="1"/>
        <v>28.749999999999996</v>
      </c>
      <c r="K75" s="349">
        <f t="shared" si="2"/>
        <v>114.99999999999999</v>
      </c>
      <c r="L75" s="350">
        <f t="shared" si="3"/>
        <v>943.57666666666671</v>
      </c>
      <c r="M75" s="351">
        <f t="shared" si="4"/>
        <v>3774.3066666666668</v>
      </c>
      <c r="N75" s="258"/>
      <c r="O75" s="258"/>
    </row>
    <row r="76" spans="1:15" ht="14.15" customHeight="1" x14ac:dyDescent="0.3">
      <c r="A76" s="341" t="s">
        <v>153</v>
      </c>
      <c r="B76" s="443" t="s">
        <v>154</v>
      </c>
      <c r="C76" s="27" t="s">
        <v>108</v>
      </c>
      <c r="D76" s="1">
        <v>0</v>
      </c>
      <c r="E76" s="36">
        <v>538.9</v>
      </c>
      <c r="F76" s="41">
        <v>0.25</v>
      </c>
      <c r="G76" s="348">
        <f t="shared" si="0"/>
        <v>718.5333333333333</v>
      </c>
      <c r="H76" s="348">
        <v>25</v>
      </c>
      <c r="I76" s="83">
        <v>0.15</v>
      </c>
      <c r="J76" s="79">
        <f t="shared" si="1"/>
        <v>28.749999999999996</v>
      </c>
      <c r="K76" s="349">
        <f t="shared" si="2"/>
        <v>0</v>
      </c>
      <c r="L76" s="350">
        <f t="shared" si="3"/>
        <v>747.2833333333333</v>
      </c>
      <c r="M76" s="351">
        <f t="shared" si="4"/>
        <v>0</v>
      </c>
      <c r="N76" s="258"/>
      <c r="O76" s="258"/>
    </row>
    <row r="77" spans="1:15" ht="14.15" customHeight="1" x14ac:dyDescent="0.3">
      <c r="A77" s="341" t="s">
        <v>155</v>
      </c>
      <c r="B77" s="443" t="s">
        <v>156</v>
      </c>
      <c r="C77" s="29" t="s">
        <v>108</v>
      </c>
      <c r="D77" s="1">
        <v>0</v>
      </c>
      <c r="E77" s="36">
        <v>450</v>
      </c>
      <c r="F77" s="41">
        <v>0.25</v>
      </c>
      <c r="G77" s="348">
        <f t="shared" si="0"/>
        <v>600</v>
      </c>
      <c r="H77" s="348">
        <v>25</v>
      </c>
      <c r="I77" s="83">
        <v>0.15</v>
      </c>
      <c r="J77" s="79">
        <f t="shared" si="1"/>
        <v>28.749999999999996</v>
      </c>
      <c r="K77" s="349">
        <f t="shared" si="2"/>
        <v>0</v>
      </c>
      <c r="L77" s="350">
        <f t="shared" si="3"/>
        <v>628.75</v>
      </c>
      <c r="M77" s="351">
        <f t="shared" si="4"/>
        <v>0</v>
      </c>
      <c r="N77" s="258"/>
      <c r="O77" s="258"/>
    </row>
    <row r="78" spans="1:15" ht="14.15" customHeight="1" x14ac:dyDescent="0.3">
      <c r="A78" s="341" t="s">
        <v>157</v>
      </c>
      <c r="B78" s="443" t="s">
        <v>158</v>
      </c>
      <c r="C78" s="29" t="s">
        <v>108</v>
      </c>
      <c r="D78" s="1">
        <v>6</v>
      </c>
      <c r="E78" s="36">
        <v>380</v>
      </c>
      <c r="F78" s="41">
        <v>0.25</v>
      </c>
      <c r="G78" s="348">
        <f t="shared" si="0"/>
        <v>506.66666666666669</v>
      </c>
      <c r="H78" s="348">
        <v>25</v>
      </c>
      <c r="I78" s="83">
        <v>0.15</v>
      </c>
      <c r="J78" s="79">
        <f t="shared" si="1"/>
        <v>28.749999999999996</v>
      </c>
      <c r="K78" s="349">
        <f t="shared" si="2"/>
        <v>172.49999999999997</v>
      </c>
      <c r="L78" s="350">
        <f t="shared" si="3"/>
        <v>535.41666666666663</v>
      </c>
      <c r="M78" s="351">
        <f t="shared" si="4"/>
        <v>3212.5</v>
      </c>
      <c r="N78" s="258"/>
      <c r="O78" s="258"/>
    </row>
    <row r="79" spans="1:15" ht="14.5" customHeight="1" thickBot="1" x14ac:dyDescent="0.35">
      <c r="A79" s="381" t="s">
        <v>159</v>
      </c>
      <c r="B79" s="446" t="s">
        <v>160</v>
      </c>
      <c r="C79" s="76" t="s">
        <v>108</v>
      </c>
      <c r="D79" s="50">
        <v>0</v>
      </c>
      <c r="E79" s="51">
        <f>215</f>
        <v>215</v>
      </c>
      <c r="F79" s="52">
        <v>0.25</v>
      </c>
      <c r="G79" s="376">
        <f t="shared" si="0"/>
        <v>286.66666666666669</v>
      </c>
      <c r="H79" s="376">
        <v>25</v>
      </c>
      <c r="I79" s="83">
        <v>0.15</v>
      </c>
      <c r="J79" s="79">
        <f t="shared" si="1"/>
        <v>28.749999999999996</v>
      </c>
      <c r="K79" s="349">
        <f t="shared" si="2"/>
        <v>0</v>
      </c>
      <c r="L79" s="350">
        <f t="shared" si="3"/>
        <v>315.41666666666669</v>
      </c>
      <c r="M79" s="378">
        <f t="shared" si="4"/>
        <v>0</v>
      </c>
      <c r="N79" s="258"/>
      <c r="O79" s="258"/>
    </row>
    <row r="80" spans="1:15" ht="14.5" customHeight="1" thickBot="1" x14ac:dyDescent="0.35">
      <c r="A80" s="397"/>
      <c r="B80" s="449"/>
      <c r="C80" s="71"/>
      <c r="D80" s="72"/>
      <c r="E80" s="73"/>
      <c r="F80" s="74"/>
      <c r="G80" s="356"/>
      <c r="H80" s="356"/>
      <c r="I80" s="73"/>
      <c r="J80" s="73"/>
      <c r="K80" s="357"/>
      <c r="L80" s="358"/>
      <c r="M80" s="358"/>
      <c r="N80" s="258"/>
      <c r="O80" s="258"/>
    </row>
    <row r="81" spans="1:15" ht="14.15" customHeight="1" x14ac:dyDescent="0.3">
      <c r="A81" s="359">
        <v>2.12</v>
      </c>
      <c r="B81" s="450"/>
      <c r="C81" s="75"/>
      <c r="D81" s="58" t="s">
        <v>161</v>
      </c>
      <c r="E81" s="56"/>
      <c r="F81" s="57"/>
      <c r="G81" s="361"/>
      <c r="H81" s="361"/>
      <c r="I81" s="56"/>
      <c r="J81" s="56"/>
      <c r="K81" s="362"/>
      <c r="L81" s="363"/>
      <c r="M81" s="363"/>
      <c r="N81" s="258"/>
      <c r="O81" s="258"/>
    </row>
    <row r="82" spans="1:15" ht="14.15" customHeight="1" x14ac:dyDescent="0.3">
      <c r="A82" s="341"/>
      <c r="B82" s="444"/>
      <c r="C82" s="29"/>
      <c r="D82" s="1"/>
      <c r="E82" s="36"/>
      <c r="F82" s="41"/>
      <c r="G82" s="348"/>
      <c r="H82" s="348"/>
      <c r="I82" s="79"/>
      <c r="J82" s="79"/>
      <c r="K82" s="349"/>
      <c r="L82" s="350"/>
      <c r="M82" s="351"/>
      <c r="N82" s="258"/>
      <c r="O82" s="258"/>
    </row>
    <row r="83" spans="1:15" ht="14.15" customHeight="1" x14ac:dyDescent="0.3">
      <c r="A83" s="341" t="s">
        <v>162</v>
      </c>
      <c r="B83" s="443" t="s">
        <v>163</v>
      </c>
      <c r="C83" s="29" t="s">
        <v>108</v>
      </c>
      <c r="D83" s="1">
        <v>0</v>
      </c>
      <c r="E83" s="36">
        <v>109.45</v>
      </c>
      <c r="F83" s="41">
        <v>0.2</v>
      </c>
      <c r="G83" s="348">
        <f>E83/(1-F83)</f>
        <v>136.8125</v>
      </c>
      <c r="H83" s="348">
        <v>50</v>
      </c>
      <c r="I83" s="83">
        <v>0.15</v>
      </c>
      <c r="J83" s="79">
        <f>H83*(1+I83)</f>
        <v>57.499999999999993</v>
      </c>
      <c r="K83" s="349">
        <f>J83*D83</f>
        <v>0</v>
      </c>
      <c r="L83" s="350">
        <f>G83+J83</f>
        <v>194.3125</v>
      </c>
      <c r="M83" s="351">
        <f>D83*L83</f>
        <v>0</v>
      </c>
      <c r="N83" s="258"/>
      <c r="O83" s="258"/>
    </row>
    <row r="84" spans="1:15" ht="14.15" customHeight="1" x14ac:dyDescent="0.3">
      <c r="A84" s="341"/>
      <c r="B84" s="443" t="s">
        <v>164</v>
      </c>
      <c r="C84" s="29" t="s">
        <v>108</v>
      </c>
      <c r="D84" s="1">
        <v>0</v>
      </c>
      <c r="E84" s="36">
        <v>70.599999999999994</v>
      </c>
      <c r="F84" s="41">
        <v>0.2</v>
      </c>
      <c r="G84" s="348">
        <f>E84/(1-F84)</f>
        <v>88.249999999999986</v>
      </c>
      <c r="H84" s="348">
        <v>50</v>
      </c>
      <c r="I84" s="83">
        <v>0.15</v>
      </c>
      <c r="J84" s="79">
        <f>H84*(1+I84)</f>
        <v>57.499999999999993</v>
      </c>
      <c r="K84" s="349">
        <f>J84*D84</f>
        <v>0</v>
      </c>
      <c r="L84" s="350">
        <f>G84+J84</f>
        <v>145.74999999999997</v>
      </c>
      <c r="M84" s="351">
        <f>D84*L84</f>
        <v>0</v>
      </c>
      <c r="N84" s="258"/>
      <c r="O84" s="258"/>
    </row>
    <row r="85" spans="1:15" ht="14.5" customHeight="1" thickBot="1" x14ac:dyDescent="0.35">
      <c r="A85" s="381"/>
      <c r="B85" s="446" t="s">
        <v>165</v>
      </c>
      <c r="C85" s="76" t="s">
        <v>108</v>
      </c>
      <c r="D85" s="50">
        <f>20 + N("5m per cable")</f>
        <v>20</v>
      </c>
      <c r="E85" s="51">
        <v>22.91</v>
      </c>
      <c r="F85" s="52">
        <v>0.2</v>
      </c>
      <c r="G85" s="376">
        <f>E85/(1-F85)</f>
        <v>28.637499999999999</v>
      </c>
      <c r="H85" s="376">
        <v>50</v>
      </c>
      <c r="I85" s="83">
        <v>0.15</v>
      </c>
      <c r="J85" s="79">
        <f>H85*(1+I85)</f>
        <v>57.499999999999993</v>
      </c>
      <c r="K85" s="349">
        <f>J85*D85</f>
        <v>1149.9999999999998</v>
      </c>
      <c r="L85" s="350">
        <f>G85+J85</f>
        <v>86.137499999999989</v>
      </c>
      <c r="M85" s="378">
        <f>D85*L85</f>
        <v>1722.7499999999998</v>
      </c>
      <c r="N85" s="258"/>
      <c r="O85" s="258"/>
    </row>
    <row r="86" spans="1:15" ht="14.5" customHeight="1" thickBot="1" x14ac:dyDescent="0.35">
      <c r="A86" s="397"/>
      <c r="B86" s="449"/>
      <c r="C86" s="71"/>
      <c r="D86" s="72"/>
      <c r="E86" s="73"/>
      <c r="F86" s="74"/>
      <c r="G86" s="356"/>
      <c r="H86" s="356"/>
      <c r="I86" s="73"/>
      <c r="J86" s="73"/>
      <c r="K86" s="357"/>
      <c r="L86" s="358"/>
      <c r="M86" s="358"/>
      <c r="N86" s="258"/>
      <c r="O86" s="258"/>
    </row>
    <row r="87" spans="1:15" ht="14.15" customHeight="1" x14ac:dyDescent="0.3">
      <c r="A87" s="359">
        <v>2.13</v>
      </c>
      <c r="B87" s="450"/>
      <c r="C87" s="75"/>
      <c r="D87" s="58" t="s">
        <v>166</v>
      </c>
      <c r="E87" s="56"/>
      <c r="F87" s="57"/>
      <c r="G87" s="361"/>
      <c r="H87" s="361"/>
      <c r="I87" s="56"/>
      <c r="J87" s="56"/>
      <c r="K87" s="362"/>
      <c r="L87" s="363"/>
      <c r="M87" s="363"/>
      <c r="N87" s="258"/>
      <c r="O87" s="258"/>
    </row>
    <row r="88" spans="1:15" ht="14.15" customHeight="1" x14ac:dyDescent="0.3">
      <c r="A88" s="341"/>
      <c r="B88" s="444"/>
      <c r="C88" s="29"/>
      <c r="D88" s="1"/>
      <c r="E88" s="36"/>
      <c r="F88" s="41"/>
      <c r="G88" s="348"/>
      <c r="H88" s="348"/>
      <c r="I88" s="79"/>
      <c r="J88" s="79"/>
      <c r="K88" s="349"/>
      <c r="L88" s="350"/>
      <c r="M88" s="351"/>
      <c r="N88" s="258"/>
      <c r="O88" s="258"/>
    </row>
    <row r="89" spans="1:15" ht="14.15" customHeight="1" x14ac:dyDescent="0.3">
      <c r="A89" s="341" t="s">
        <v>167</v>
      </c>
      <c r="B89" s="443" t="s">
        <v>168</v>
      </c>
      <c r="C89" s="29" t="s">
        <v>108</v>
      </c>
      <c r="D89" s="1">
        <v>0</v>
      </c>
      <c r="E89" s="36">
        <v>25</v>
      </c>
      <c r="F89" s="41">
        <v>0.2</v>
      </c>
      <c r="G89" s="348">
        <f>E89/(1-F89)</f>
        <v>31.25</v>
      </c>
      <c r="H89" s="348"/>
      <c r="I89" s="83">
        <v>0.15</v>
      </c>
      <c r="J89" s="79">
        <f>H89*(1+I89)</f>
        <v>0</v>
      </c>
      <c r="K89" s="349">
        <f>J89*D89</f>
        <v>0</v>
      </c>
      <c r="L89" s="350">
        <f>G89+J89</f>
        <v>31.25</v>
      </c>
      <c r="M89" s="351">
        <f>D89*L89</f>
        <v>0</v>
      </c>
      <c r="N89" s="258"/>
      <c r="O89" s="258"/>
    </row>
    <row r="90" spans="1:15" ht="14.15" customHeight="1" x14ac:dyDescent="0.3">
      <c r="A90" s="341" t="s">
        <v>169</v>
      </c>
      <c r="B90" s="443" t="s">
        <v>170</v>
      </c>
      <c r="C90" s="29" t="s">
        <v>108</v>
      </c>
      <c r="D90" s="1">
        <v>0</v>
      </c>
      <c r="E90" s="36">
        <v>33</v>
      </c>
      <c r="F90" s="41">
        <v>0.2</v>
      </c>
      <c r="G90" s="348">
        <f>E90/(1-F90)</f>
        <v>41.25</v>
      </c>
      <c r="H90" s="348"/>
      <c r="I90" s="83">
        <v>0.15</v>
      </c>
      <c r="J90" s="79">
        <f>H90*(1+I90)</f>
        <v>0</v>
      </c>
      <c r="K90" s="349">
        <f>J90*D90</f>
        <v>0</v>
      </c>
      <c r="L90" s="350">
        <f>G90+J90</f>
        <v>41.25</v>
      </c>
      <c r="M90" s="351">
        <f>D90*L90</f>
        <v>0</v>
      </c>
      <c r="N90" s="258"/>
      <c r="O90" s="258"/>
    </row>
    <row r="91" spans="1:15" ht="14.5" customHeight="1" thickBot="1" x14ac:dyDescent="0.35">
      <c r="A91" s="341" t="s">
        <v>171</v>
      </c>
      <c r="B91" s="451" t="s">
        <v>172</v>
      </c>
      <c r="C91" s="29" t="s">
        <v>108</v>
      </c>
      <c r="D91" s="1">
        <v>0</v>
      </c>
      <c r="E91" s="36">
        <v>37</v>
      </c>
      <c r="F91" s="41">
        <v>0.2</v>
      </c>
      <c r="G91" s="348">
        <f>E91/(1-F91)</f>
        <v>46.25</v>
      </c>
      <c r="H91" s="348"/>
      <c r="I91" s="83">
        <v>0.15</v>
      </c>
      <c r="J91" s="79">
        <f>H91*(1+I91)</f>
        <v>0</v>
      </c>
      <c r="K91" s="349">
        <f>J91*D91</f>
        <v>0</v>
      </c>
      <c r="L91" s="350">
        <f>G91+J91</f>
        <v>46.25</v>
      </c>
      <c r="M91" s="351">
        <f>D91*L91</f>
        <v>0</v>
      </c>
      <c r="N91" s="258"/>
      <c r="O91" s="258"/>
    </row>
    <row r="92" spans="1:15" ht="14.5" customHeight="1" thickBot="1" x14ac:dyDescent="0.35">
      <c r="A92" s="397"/>
      <c r="B92" s="449"/>
      <c r="C92" s="71"/>
      <c r="D92" s="72"/>
      <c r="E92" s="73"/>
      <c r="F92" s="74"/>
      <c r="G92" s="356"/>
      <c r="H92" s="356"/>
      <c r="I92" s="73"/>
      <c r="J92" s="73"/>
      <c r="K92" s="357"/>
      <c r="L92" s="358"/>
      <c r="M92" s="358"/>
      <c r="N92" s="258"/>
      <c r="O92" s="258"/>
    </row>
    <row r="93" spans="1:15" s="297" customFormat="1" ht="14.15" customHeight="1" x14ac:dyDescent="0.3">
      <c r="A93" s="402">
        <v>2.14</v>
      </c>
      <c r="B93" s="452"/>
      <c r="C93" s="78"/>
      <c r="D93" s="65" t="s">
        <v>173</v>
      </c>
      <c r="E93" s="53"/>
      <c r="F93" s="54"/>
      <c r="G93" s="391"/>
      <c r="H93" s="391"/>
      <c r="I93" s="53"/>
      <c r="J93" s="53"/>
      <c r="K93" s="392"/>
      <c r="L93" s="393"/>
      <c r="M93" s="393"/>
      <c r="N93" s="258"/>
      <c r="O93" s="258"/>
    </row>
    <row r="94" spans="1:15" s="297" customFormat="1" ht="14.15" customHeight="1" x14ac:dyDescent="0.3">
      <c r="A94" s="341"/>
      <c r="B94" s="444"/>
      <c r="C94" s="29"/>
      <c r="D94" s="1"/>
      <c r="E94" s="36"/>
      <c r="F94" s="41"/>
      <c r="G94" s="348"/>
      <c r="H94" s="348"/>
      <c r="I94" s="79"/>
      <c r="J94" s="79"/>
      <c r="K94" s="349"/>
      <c r="L94" s="350"/>
      <c r="M94" s="351"/>
      <c r="N94" s="258"/>
      <c r="O94" s="258"/>
    </row>
    <row r="95" spans="1:15" s="297" customFormat="1" ht="28" customHeight="1" x14ac:dyDescent="0.3">
      <c r="A95" s="341"/>
      <c r="B95" s="443" t="s">
        <v>174</v>
      </c>
      <c r="C95" s="29"/>
      <c r="D95" s="1"/>
      <c r="E95" s="36"/>
      <c r="F95" s="41"/>
      <c r="G95" s="348"/>
      <c r="H95" s="348"/>
      <c r="I95" s="79"/>
      <c r="J95" s="79"/>
      <c r="K95" s="349"/>
      <c r="L95" s="350"/>
      <c r="M95" s="351"/>
      <c r="N95" s="258"/>
      <c r="O95" s="258"/>
    </row>
    <row r="96" spans="1:15" s="297" customFormat="1" ht="14.15" customHeight="1" x14ac:dyDescent="0.3">
      <c r="A96" s="384"/>
      <c r="B96" s="443"/>
      <c r="C96" s="29"/>
      <c r="D96" s="1"/>
      <c r="E96" s="36"/>
      <c r="F96" s="41"/>
      <c r="G96" s="348"/>
      <c r="H96" s="348"/>
      <c r="I96" s="79"/>
      <c r="J96" s="79"/>
      <c r="K96" s="349"/>
      <c r="L96" s="350"/>
      <c r="M96" s="351"/>
      <c r="N96" s="258"/>
      <c r="O96" s="258"/>
    </row>
    <row r="97" spans="1:15" s="297" customFormat="1" ht="14.15" customHeight="1" x14ac:dyDescent="0.3">
      <c r="A97" s="341" t="s">
        <v>175</v>
      </c>
      <c r="B97" s="443" t="s">
        <v>150</v>
      </c>
      <c r="C97" s="29" t="s">
        <v>85</v>
      </c>
      <c r="D97" s="1">
        <v>0</v>
      </c>
      <c r="E97" s="36">
        <f>752.54*1.1</f>
        <v>827.79399999999998</v>
      </c>
      <c r="F97" s="41">
        <v>0.2</v>
      </c>
      <c r="G97" s="348">
        <f t="shared" ref="G97:G107" si="5">E97/(1-F97)</f>
        <v>1034.7424999999998</v>
      </c>
      <c r="H97" s="348">
        <f>(250+100)*1.5</f>
        <v>525</v>
      </c>
      <c r="I97" s="83">
        <v>0.15</v>
      </c>
      <c r="J97" s="79">
        <f t="shared" ref="J97:J107" si="6">H97*(1+I97)</f>
        <v>603.75</v>
      </c>
      <c r="K97" s="349">
        <f t="shared" ref="K97:K107" si="7">J97*D97</f>
        <v>0</v>
      </c>
      <c r="L97" s="350">
        <f t="shared" ref="L97:L107" si="8">G97+J97</f>
        <v>1638.4924999999998</v>
      </c>
      <c r="M97" s="351">
        <f t="shared" ref="M97:M107" si="9">D97*L97</f>
        <v>0</v>
      </c>
      <c r="N97" s="258"/>
      <c r="O97" s="258"/>
    </row>
    <row r="98" spans="1:15" s="297" customFormat="1" ht="14.15" customHeight="1" x14ac:dyDescent="0.3">
      <c r="A98" s="341" t="s">
        <v>176</v>
      </c>
      <c r="B98" s="443" t="s">
        <v>177</v>
      </c>
      <c r="C98" s="29" t="s">
        <v>85</v>
      </c>
      <c r="D98" s="1">
        <v>0</v>
      </c>
      <c r="E98" s="36">
        <f>350*1.1</f>
        <v>385.00000000000006</v>
      </c>
      <c r="F98" s="41">
        <v>0.2</v>
      </c>
      <c r="G98" s="348">
        <f t="shared" si="5"/>
        <v>481.25000000000006</v>
      </c>
      <c r="H98" s="348">
        <f>(250+100)*1.5</f>
        <v>525</v>
      </c>
      <c r="I98" s="83">
        <v>0.15</v>
      </c>
      <c r="J98" s="79">
        <f t="shared" si="6"/>
        <v>603.75</v>
      </c>
      <c r="K98" s="349">
        <f t="shared" si="7"/>
        <v>0</v>
      </c>
      <c r="L98" s="350">
        <f t="shared" si="8"/>
        <v>1085</v>
      </c>
      <c r="M98" s="351">
        <f t="shared" si="9"/>
        <v>0</v>
      </c>
      <c r="N98" s="258"/>
      <c r="O98" s="258"/>
    </row>
    <row r="99" spans="1:15" s="297" customFormat="1" ht="14.15" customHeight="1" x14ac:dyDescent="0.3">
      <c r="A99" s="341" t="s">
        <v>178</v>
      </c>
      <c r="B99" s="443" t="s">
        <v>152</v>
      </c>
      <c r="C99" s="29" t="s">
        <v>85</v>
      </c>
      <c r="D99" s="1">
        <v>4</v>
      </c>
      <c r="E99" s="36">
        <v>550</v>
      </c>
      <c r="F99" s="41">
        <v>0.2</v>
      </c>
      <c r="G99" s="348">
        <f t="shared" si="5"/>
        <v>687.5</v>
      </c>
      <c r="H99" s="348">
        <f>(250+100)*1.5</f>
        <v>525</v>
      </c>
      <c r="I99" s="83">
        <v>0.15</v>
      </c>
      <c r="J99" s="79">
        <f t="shared" si="6"/>
        <v>603.75</v>
      </c>
      <c r="K99" s="349">
        <f t="shared" si="7"/>
        <v>2415</v>
      </c>
      <c r="L99" s="350">
        <f t="shared" si="8"/>
        <v>1291.25</v>
      </c>
      <c r="M99" s="351">
        <f t="shared" si="9"/>
        <v>5165</v>
      </c>
      <c r="N99" s="258"/>
      <c r="O99" s="258"/>
    </row>
    <row r="100" spans="1:15" s="297" customFormat="1" ht="14.15" customHeight="1" x14ac:dyDescent="0.3">
      <c r="A100" s="341" t="s">
        <v>179</v>
      </c>
      <c r="B100" s="443" t="s">
        <v>154</v>
      </c>
      <c r="C100" s="29" t="s">
        <v>85</v>
      </c>
      <c r="D100" s="1">
        <v>0</v>
      </c>
      <c r="E100" s="36">
        <v>350</v>
      </c>
      <c r="F100" s="41">
        <v>0.2</v>
      </c>
      <c r="G100" s="348">
        <f t="shared" si="5"/>
        <v>437.5</v>
      </c>
      <c r="H100" s="348">
        <v>525</v>
      </c>
      <c r="I100" s="83">
        <v>0.15</v>
      </c>
      <c r="J100" s="79">
        <f t="shared" si="6"/>
        <v>603.75</v>
      </c>
      <c r="K100" s="349">
        <f t="shared" si="7"/>
        <v>0</v>
      </c>
      <c r="L100" s="350">
        <f t="shared" si="8"/>
        <v>1041.25</v>
      </c>
      <c r="M100" s="351">
        <f t="shared" si="9"/>
        <v>0</v>
      </c>
      <c r="N100" s="258"/>
      <c r="O100" s="258"/>
    </row>
    <row r="101" spans="1:15" s="297" customFormat="1" ht="14.5" customHeight="1" x14ac:dyDescent="0.3">
      <c r="A101" s="341" t="s">
        <v>180</v>
      </c>
      <c r="B101" s="443" t="s">
        <v>156</v>
      </c>
      <c r="C101" s="29" t="s">
        <v>85</v>
      </c>
      <c r="D101" s="1">
        <v>0</v>
      </c>
      <c r="E101" s="36"/>
      <c r="F101" s="41"/>
      <c r="G101" s="348">
        <f t="shared" si="5"/>
        <v>0</v>
      </c>
      <c r="H101" s="348">
        <v>525</v>
      </c>
      <c r="I101" s="83">
        <v>0.15</v>
      </c>
      <c r="J101" s="79">
        <f t="shared" si="6"/>
        <v>603.75</v>
      </c>
      <c r="K101" s="349">
        <f t="shared" si="7"/>
        <v>0</v>
      </c>
      <c r="L101" s="350">
        <f t="shared" si="8"/>
        <v>603.75</v>
      </c>
      <c r="M101" s="351">
        <f t="shared" si="9"/>
        <v>0</v>
      </c>
      <c r="N101" s="258"/>
      <c r="O101" s="258"/>
    </row>
    <row r="102" spans="1:15" s="297" customFormat="1" ht="14.15" customHeight="1" x14ac:dyDescent="0.3">
      <c r="A102" s="341" t="s">
        <v>181</v>
      </c>
      <c r="B102" s="443" t="s">
        <v>158</v>
      </c>
      <c r="C102" s="29" t="s">
        <v>85</v>
      </c>
      <c r="D102" s="1">
        <v>0</v>
      </c>
      <c r="E102" s="36">
        <v>350</v>
      </c>
      <c r="F102" s="41">
        <v>0.2</v>
      </c>
      <c r="G102" s="348">
        <f t="shared" si="5"/>
        <v>437.5</v>
      </c>
      <c r="H102" s="348">
        <v>525</v>
      </c>
      <c r="I102" s="83">
        <v>0.15</v>
      </c>
      <c r="J102" s="79">
        <f t="shared" si="6"/>
        <v>603.75</v>
      </c>
      <c r="K102" s="349">
        <f t="shared" si="7"/>
        <v>0</v>
      </c>
      <c r="L102" s="350">
        <f t="shared" si="8"/>
        <v>1041.25</v>
      </c>
      <c r="M102" s="351">
        <f t="shared" si="9"/>
        <v>0</v>
      </c>
      <c r="N102" s="258"/>
      <c r="O102" s="258"/>
    </row>
    <row r="103" spans="1:15" s="297" customFormat="1" ht="14.15" customHeight="1" x14ac:dyDescent="0.3">
      <c r="A103" s="341" t="s">
        <v>182</v>
      </c>
      <c r="B103" s="443" t="s">
        <v>160</v>
      </c>
      <c r="C103" s="29" t="s">
        <v>85</v>
      </c>
      <c r="D103" s="1">
        <v>0</v>
      </c>
      <c r="E103" s="36">
        <v>350</v>
      </c>
      <c r="F103" s="41">
        <v>0.2</v>
      </c>
      <c r="G103" s="348">
        <f t="shared" si="5"/>
        <v>437.5</v>
      </c>
      <c r="H103" s="348">
        <v>525</v>
      </c>
      <c r="I103" s="83">
        <v>0.15</v>
      </c>
      <c r="J103" s="79">
        <f t="shared" si="6"/>
        <v>603.75</v>
      </c>
      <c r="K103" s="349">
        <f t="shared" si="7"/>
        <v>0</v>
      </c>
      <c r="L103" s="350">
        <f t="shared" si="8"/>
        <v>1041.25</v>
      </c>
      <c r="M103" s="351">
        <f t="shared" si="9"/>
        <v>0</v>
      </c>
      <c r="N103" s="258"/>
      <c r="O103" s="258"/>
    </row>
    <row r="104" spans="1:15" s="297" customFormat="1" ht="14.15" customHeight="1" x14ac:dyDescent="0.3">
      <c r="A104" s="341" t="s">
        <v>183</v>
      </c>
      <c r="B104" s="443" t="s">
        <v>184</v>
      </c>
      <c r="C104" s="29" t="s">
        <v>85</v>
      </c>
      <c r="D104" s="1">
        <v>0</v>
      </c>
      <c r="E104" s="36"/>
      <c r="F104" s="41">
        <v>0.2</v>
      </c>
      <c r="G104" s="348">
        <f t="shared" si="5"/>
        <v>0</v>
      </c>
      <c r="H104" s="348">
        <v>525</v>
      </c>
      <c r="I104" s="83">
        <v>0.15</v>
      </c>
      <c r="J104" s="79">
        <f t="shared" si="6"/>
        <v>603.75</v>
      </c>
      <c r="K104" s="349">
        <f t="shared" si="7"/>
        <v>0</v>
      </c>
      <c r="L104" s="350">
        <f t="shared" si="8"/>
        <v>603.75</v>
      </c>
      <c r="M104" s="351">
        <f t="shared" si="9"/>
        <v>0</v>
      </c>
      <c r="N104" s="258"/>
      <c r="O104" s="258"/>
    </row>
    <row r="105" spans="1:15" s="297" customFormat="1" ht="14.15" customHeight="1" x14ac:dyDescent="0.3">
      <c r="A105" s="341" t="s">
        <v>185</v>
      </c>
      <c r="B105" s="443" t="s">
        <v>186</v>
      </c>
      <c r="C105" s="29" t="s">
        <v>85</v>
      </c>
      <c r="D105" s="1">
        <v>0</v>
      </c>
      <c r="E105" s="36">
        <v>250</v>
      </c>
      <c r="F105" s="41">
        <v>0.2</v>
      </c>
      <c r="G105" s="348">
        <f t="shared" si="5"/>
        <v>312.5</v>
      </c>
      <c r="H105" s="348">
        <v>525</v>
      </c>
      <c r="I105" s="83">
        <v>0.15</v>
      </c>
      <c r="J105" s="79">
        <f t="shared" si="6"/>
        <v>603.75</v>
      </c>
      <c r="K105" s="349">
        <f t="shared" si="7"/>
        <v>0</v>
      </c>
      <c r="L105" s="350">
        <f t="shared" si="8"/>
        <v>916.25</v>
      </c>
      <c r="M105" s="351">
        <f t="shared" si="9"/>
        <v>0</v>
      </c>
      <c r="N105" s="258"/>
      <c r="O105" s="258"/>
    </row>
    <row r="106" spans="1:15" s="297" customFormat="1" ht="14.15" customHeight="1" x14ac:dyDescent="0.3">
      <c r="A106" s="341" t="s">
        <v>187</v>
      </c>
      <c r="B106" s="443" t="s">
        <v>188</v>
      </c>
      <c r="C106" s="29" t="s">
        <v>85</v>
      </c>
      <c r="D106" s="1">
        <v>4</v>
      </c>
      <c r="E106" s="36">
        <v>500</v>
      </c>
      <c r="F106" s="41">
        <v>0.2</v>
      </c>
      <c r="G106" s="348">
        <f t="shared" si="5"/>
        <v>625</v>
      </c>
      <c r="H106" s="348">
        <v>525</v>
      </c>
      <c r="I106" s="83">
        <v>0.15</v>
      </c>
      <c r="J106" s="79">
        <f t="shared" si="6"/>
        <v>603.75</v>
      </c>
      <c r="K106" s="349">
        <f t="shared" si="7"/>
        <v>2415</v>
      </c>
      <c r="L106" s="350">
        <f t="shared" si="8"/>
        <v>1228.75</v>
      </c>
      <c r="M106" s="351">
        <f t="shared" si="9"/>
        <v>4915</v>
      </c>
      <c r="N106" s="258"/>
      <c r="O106" s="258"/>
    </row>
    <row r="107" spans="1:15" s="297" customFormat="1" ht="14.5" customHeight="1" thickBot="1" x14ac:dyDescent="0.35">
      <c r="A107" s="381" t="s">
        <v>189</v>
      </c>
      <c r="B107" s="446" t="s">
        <v>190</v>
      </c>
      <c r="C107" s="76" t="s">
        <v>85</v>
      </c>
      <c r="D107" s="50">
        <v>0</v>
      </c>
      <c r="E107" s="51">
        <v>500</v>
      </c>
      <c r="F107" s="52">
        <v>0.2</v>
      </c>
      <c r="G107" s="376">
        <f t="shared" si="5"/>
        <v>625</v>
      </c>
      <c r="H107" s="376">
        <v>525</v>
      </c>
      <c r="I107" s="84">
        <v>0.15</v>
      </c>
      <c r="J107" s="80">
        <f t="shared" si="6"/>
        <v>603.75</v>
      </c>
      <c r="K107" s="382">
        <f t="shared" si="7"/>
        <v>0</v>
      </c>
      <c r="L107" s="350">
        <f t="shared" si="8"/>
        <v>1228.75</v>
      </c>
      <c r="M107" s="378">
        <f t="shared" si="9"/>
        <v>0</v>
      </c>
      <c r="N107" s="258"/>
      <c r="O107" s="258"/>
    </row>
    <row r="108" spans="1:15" s="297" customFormat="1" ht="14.5" customHeight="1" thickBot="1" x14ac:dyDescent="0.35">
      <c r="A108" s="404"/>
      <c r="B108" s="453"/>
      <c r="C108" s="29"/>
      <c r="D108" s="1"/>
      <c r="E108" s="36"/>
      <c r="F108" s="41"/>
      <c r="G108" s="348"/>
      <c r="H108" s="348"/>
      <c r="I108" s="79"/>
      <c r="J108" s="79"/>
      <c r="K108" s="406"/>
      <c r="L108" s="350"/>
      <c r="M108" s="351"/>
      <c r="N108" s="258"/>
      <c r="O108" s="258"/>
    </row>
    <row r="109" spans="1:15" ht="14.15" customHeight="1" x14ac:dyDescent="0.3">
      <c r="A109" s="359">
        <v>2.15</v>
      </c>
      <c r="B109" s="450"/>
      <c r="C109" s="75"/>
      <c r="D109" s="58" t="s">
        <v>191</v>
      </c>
      <c r="E109" s="56"/>
      <c r="F109" s="57"/>
      <c r="G109" s="361"/>
      <c r="H109" s="361"/>
      <c r="I109" s="56"/>
      <c r="J109" s="56"/>
      <c r="K109" s="362"/>
      <c r="L109" s="363"/>
      <c r="M109" s="363"/>
      <c r="N109" s="258"/>
      <c r="O109" s="258"/>
    </row>
    <row r="110" spans="1:15" ht="14.15" customHeight="1" x14ac:dyDescent="0.3">
      <c r="A110" s="341"/>
      <c r="B110" s="444"/>
      <c r="C110" s="29"/>
      <c r="D110" s="1"/>
      <c r="E110" s="36"/>
      <c r="F110" s="41"/>
      <c r="G110" s="348"/>
      <c r="H110" s="348"/>
      <c r="I110" s="79"/>
      <c r="J110" s="79"/>
      <c r="K110" s="349"/>
      <c r="L110" s="350"/>
      <c r="M110" s="351"/>
      <c r="N110" s="258"/>
      <c r="O110" s="258"/>
    </row>
    <row r="111" spans="1:15" ht="28" customHeight="1" x14ac:dyDescent="0.3">
      <c r="A111" s="341"/>
      <c r="B111" s="443" t="s">
        <v>192</v>
      </c>
      <c r="C111" s="29"/>
      <c r="D111" s="1"/>
      <c r="E111" s="36"/>
      <c r="F111" s="41"/>
      <c r="G111" s="348"/>
      <c r="H111" s="348"/>
      <c r="I111" s="79"/>
      <c r="J111" s="79"/>
      <c r="K111" s="349"/>
      <c r="L111" s="350"/>
      <c r="M111" s="351"/>
      <c r="N111" s="258"/>
      <c r="O111" s="258"/>
    </row>
    <row r="112" spans="1:15" ht="14.15" customHeight="1" x14ac:dyDescent="0.3">
      <c r="A112" s="384"/>
      <c r="B112" s="443"/>
      <c r="C112" s="29"/>
      <c r="D112" s="1"/>
      <c r="E112" s="36"/>
      <c r="F112" s="41"/>
      <c r="G112" s="348"/>
      <c r="H112" s="348"/>
      <c r="I112" s="79"/>
      <c r="J112" s="79"/>
      <c r="K112" s="349"/>
      <c r="L112" s="350"/>
      <c r="M112" s="351"/>
      <c r="N112" s="258"/>
      <c r="O112" s="258"/>
    </row>
    <row r="113" spans="1:15" ht="14.15" customHeight="1" x14ac:dyDescent="0.3">
      <c r="A113" s="341" t="s">
        <v>193</v>
      </c>
      <c r="B113" s="443" t="s">
        <v>194</v>
      </c>
      <c r="C113" s="29" t="s">
        <v>108</v>
      </c>
      <c r="D113" s="1">
        <v>0</v>
      </c>
      <c r="E113" s="36">
        <f>132*(15+10+10)</f>
        <v>4620</v>
      </c>
      <c r="F113" s="41">
        <v>0.2</v>
      </c>
      <c r="G113" s="348">
        <f>E113/(1-F113)</f>
        <v>5775</v>
      </c>
      <c r="H113" s="348">
        <f>9*(15+10+10)</f>
        <v>315</v>
      </c>
      <c r="I113" s="83">
        <v>0.15</v>
      </c>
      <c r="J113" s="79">
        <f>H113*(1+I113)</f>
        <v>362.25</v>
      </c>
      <c r="K113" s="349">
        <f>J113*D113</f>
        <v>0</v>
      </c>
      <c r="L113" s="350">
        <f>G113+J113</f>
        <v>6137.25</v>
      </c>
      <c r="M113" s="351">
        <f>D113*L113</f>
        <v>0</v>
      </c>
      <c r="N113" s="258"/>
      <c r="O113" s="258"/>
    </row>
    <row r="114" spans="1:15" ht="14.5" customHeight="1" thickBot="1" x14ac:dyDescent="0.35">
      <c r="A114" s="381" t="s">
        <v>195</v>
      </c>
      <c r="B114" s="446" t="s">
        <v>196</v>
      </c>
      <c r="C114" s="76" t="s">
        <v>108</v>
      </c>
      <c r="D114" s="50">
        <v>15</v>
      </c>
      <c r="E114" s="51">
        <f>30</f>
        <v>30</v>
      </c>
      <c r="F114" s="52">
        <v>0.2</v>
      </c>
      <c r="G114" s="376">
        <f>E114/(1-F114)</f>
        <v>37.5</v>
      </c>
      <c r="H114" s="376">
        <f>15</f>
        <v>15</v>
      </c>
      <c r="I114" s="84">
        <v>0.15</v>
      </c>
      <c r="J114" s="80">
        <f>H114*(1+I114)</f>
        <v>17.25</v>
      </c>
      <c r="K114" s="382">
        <f>J114*D114</f>
        <v>258.75</v>
      </c>
      <c r="L114" s="407">
        <f>G114+J114</f>
        <v>54.75</v>
      </c>
      <c r="M114" s="378">
        <f>D114*L114</f>
        <v>821.25</v>
      </c>
      <c r="N114" s="258"/>
      <c r="O114" s="258"/>
    </row>
    <row r="115" spans="1:15" ht="14.5" customHeight="1" thickBot="1" x14ac:dyDescent="0.35">
      <c r="A115" s="258"/>
      <c r="B115" s="453"/>
      <c r="C115" s="29"/>
      <c r="D115" s="1"/>
      <c r="E115" s="36"/>
      <c r="F115" s="41"/>
      <c r="G115" s="348"/>
      <c r="H115" s="348"/>
      <c r="I115" s="79"/>
      <c r="J115" s="79"/>
      <c r="K115" s="406"/>
      <c r="L115" s="350"/>
      <c r="M115" s="351"/>
      <c r="N115" s="258"/>
      <c r="O115" s="258"/>
    </row>
    <row r="116" spans="1:15" ht="14.15" customHeight="1" x14ac:dyDescent="0.3">
      <c r="A116" s="359">
        <v>2.16</v>
      </c>
      <c r="B116" s="450"/>
      <c r="C116" s="75"/>
      <c r="D116" s="58" t="s">
        <v>197</v>
      </c>
      <c r="E116" s="56"/>
      <c r="F116" s="57"/>
      <c r="G116" s="361"/>
      <c r="H116" s="361"/>
      <c r="I116" s="56"/>
      <c r="J116" s="56"/>
      <c r="K116" s="362"/>
      <c r="L116" s="363"/>
      <c r="M116" s="363"/>
      <c r="N116" s="258"/>
      <c r="O116" s="258"/>
    </row>
    <row r="117" spans="1:15" ht="14.15" customHeight="1" x14ac:dyDescent="0.3">
      <c r="A117" s="341"/>
      <c r="B117" s="444"/>
      <c r="C117" s="29"/>
      <c r="D117" s="1"/>
      <c r="E117" s="36"/>
      <c r="F117" s="41"/>
      <c r="G117" s="348"/>
      <c r="H117" s="348"/>
      <c r="I117" s="79"/>
      <c r="J117" s="79"/>
      <c r="K117" s="349"/>
      <c r="L117" s="350"/>
      <c r="M117" s="351"/>
      <c r="N117" s="258"/>
      <c r="O117" s="258"/>
    </row>
    <row r="118" spans="1:15" ht="28.5" customHeight="1" thickBot="1" x14ac:dyDescent="0.35">
      <c r="A118" s="381" t="s">
        <v>198</v>
      </c>
      <c r="B118" s="446" t="s">
        <v>199</v>
      </c>
      <c r="C118" s="86" t="s">
        <v>108</v>
      </c>
      <c r="D118" s="50">
        <v>10</v>
      </c>
      <c r="E118" s="51">
        <v>5</v>
      </c>
      <c r="F118" s="52">
        <v>0.2</v>
      </c>
      <c r="G118" s="376">
        <f>E118/(1-F118)</f>
        <v>6.25</v>
      </c>
      <c r="H118" s="376">
        <f>(100*3)</f>
        <v>300</v>
      </c>
      <c r="I118" s="84">
        <v>0.15</v>
      </c>
      <c r="J118" s="80">
        <f>H118*(1+I118)</f>
        <v>345</v>
      </c>
      <c r="K118" s="382">
        <f>J118*D118</f>
        <v>3450</v>
      </c>
      <c r="L118" s="407">
        <f>G118+J118</f>
        <v>351.25</v>
      </c>
      <c r="M118" s="378">
        <f>D118*L118</f>
        <v>3512.5</v>
      </c>
      <c r="N118" s="258"/>
      <c r="O118" s="258"/>
    </row>
    <row r="119" spans="1:15" ht="13.4" customHeight="1" thickBot="1" x14ac:dyDescent="0.35">
      <c r="A119" s="404"/>
      <c r="B119" s="453"/>
      <c r="C119" s="29"/>
      <c r="D119" s="1"/>
      <c r="E119" s="36"/>
      <c r="F119" s="41"/>
      <c r="G119" s="348"/>
      <c r="H119" s="348"/>
      <c r="I119" s="79"/>
      <c r="J119" s="79"/>
      <c r="K119" s="406"/>
      <c r="L119" s="350"/>
      <c r="M119" s="351"/>
      <c r="N119" s="258"/>
      <c r="O119" s="258"/>
    </row>
    <row r="120" spans="1:15" ht="14.15" customHeight="1" x14ac:dyDescent="0.3">
      <c r="A120" s="359">
        <v>2.17</v>
      </c>
      <c r="B120" s="450"/>
      <c r="C120" s="75"/>
      <c r="D120" s="58" t="s">
        <v>200</v>
      </c>
      <c r="E120" s="56"/>
      <c r="F120" s="57"/>
      <c r="G120" s="361"/>
      <c r="H120" s="361"/>
      <c r="I120" s="56"/>
      <c r="J120" s="56"/>
      <c r="K120" s="362"/>
      <c r="L120" s="363"/>
      <c r="M120" s="363"/>
      <c r="N120" s="258"/>
      <c r="O120" s="258"/>
    </row>
    <row r="121" spans="1:15" ht="14.15" customHeight="1" x14ac:dyDescent="0.3">
      <c r="A121" s="341"/>
      <c r="B121" s="454"/>
      <c r="C121" s="29"/>
      <c r="D121" s="1"/>
      <c r="E121" s="36"/>
      <c r="F121" s="41"/>
      <c r="G121" s="348"/>
      <c r="H121" s="348"/>
      <c r="I121" s="79"/>
      <c r="J121" s="79"/>
      <c r="K121" s="349"/>
      <c r="L121" s="350"/>
      <c r="M121" s="351"/>
      <c r="N121" s="258"/>
      <c r="O121" s="258"/>
    </row>
    <row r="122" spans="1:15" ht="14.15" customHeight="1" x14ac:dyDescent="0.3">
      <c r="A122" s="341"/>
      <c r="B122" s="443" t="s">
        <v>201</v>
      </c>
      <c r="C122" s="29"/>
      <c r="D122" s="1"/>
      <c r="E122" s="36"/>
      <c r="F122" s="41"/>
      <c r="G122" s="348"/>
      <c r="H122" s="348"/>
      <c r="I122" s="79"/>
      <c r="J122" s="79"/>
      <c r="K122" s="349"/>
      <c r="L122" s="350"/>
      <c r="M122" s="351"/>
      <c r="N122" s="258"/>
      <c r="O122" s="258"/>
    </row>
    <row r="123" spans="1:15" ht="14.15" customHeight="1" x14ac:dyDescent="0.3">
      <c r="A123" s="384"/>
      <c r="B123" s="455"/>
      <c r="C123" s="29"/>
      <c r="D123" s="1"/>
      <c r="E123" s="36"/>
      <c r="F123" s="41"/>
      <c r="G123" s="348"/>
      <c r="H123" s="348"/>
      <c r="I123" s="79"/>
      <c r="J123" s="79"/>
      <c r="K123" s="349"/>
      <c r="L123" s="350"/>
      <c r="M123" s="351"/>
      <c r="N123" s="258"/>
      <c r="O123" s="258"/>
    </row>
    <row r="124" spans="1:15" ht="28" customHeight="1" x14ac:dyDescent="0.3">
      <c r="A124" s="341" t="s">
        <v>202</v>
      </c>
      <c r="B124" s="443" t="s">
        <v>203</v>
      </c>
      <c r="C124" s="87" t="s">
        <v>42</v>
      </c>
      <c r="D124" s="1">
        <v>0</v>
      </c>
      <c r="E124" s="36"/>
      <c r="F124" s="41">
        <v>0.2</v>
      </c>
      <c r="G124" s="348">
        <f>E124/(1-F124)</f>
        <v>0</v>
      </c>
      <c r="H124" s="348">
        <f>140*(20+60+200)</f>
        <v>39200</v>
      </c>
      <c r="I124" s="83">
        <v>0.15</v>
      </c>
      <c r="J124" s="79">
        <f>H124*(1+I124)</f>
        <v>45080</v>
      </c>
      <c r="K124" s="349">
        <f>J124*D124</f>
        <v>0</v>
      </c>
      <c r="L124" s="350">
        <f>G124+J124</f>
        <v>45080</v>
      </c>
      <c r="M124" s="351">
        <f>D124*L124</f>
        <v>0</v>
      </c>
      <c r="N124" s="258"/>
      <c r="O124" s="258"/>
    </row>
    <row r="125" spans="1:15" s="297" customFormat="1" ht="28" customHeight="1" x14ac:dyDescent="0.3">
      <c r="A125" s="341" t="s">
        <v>204</v>
      </c>
      <c r="B125" s="443" t="s">
        <v>205</v>
      </c>
      <c r="C125" s="87" t="s">
        <v>42</v>
      </c>
      <c r="D125" s="1">
        <v>0</v>
      </c>
      <c r="E125" s="36"/>
      <c r="F125" s="41">
        <v>0.2</v>
      </c>
      <c r="G125" s="348">
        <f>E125/(1-F125)</f>
        <v>0</v>
      </c>
      <c r="H125" s="348">
        <f>140*(20+60+200)</f>
        <v>39200</v>
      </c>
      <c r="I125" s="83">
        <v>0.15</v>
      </c>
      <c r="J125" s="79">
        <f>H125*(1+I125)</f>
        <v>45080</v>
      </c>
      <c r="K125" s="349">
        <f>J125*D125</f>
        <v>0</v>
      </c>
      <c r="L125" s="350">
        <f>G125+J125</f>
        <v>45080</v>
      </c>
      <c r="M125" s="351">
        <f>D125*L125</f>
        <v>0</v>
      </c>
      <c r="N125" s="258"/>
      <c r="O125" s="258"/>
    </row>
    <row r="126" spans="1:15" s="297" customFormat="1" ht="14.15" customHeight="1" x14ac:dyDescent="0.3">
      <c r="A126" s="341" t="s">
        <v>206</v>
      </c>
      <c r="B126" s="443" t="s">
        <v>207</v>
      </c>
      <c r="C126" s="29" t="s">
        <v>42</v>
      </c>
      <c r="D126" s="1">
        <v>0</v>
      </c>
      <c r="E126" s="36">
        <f>35*(50+50)</f>
        <v>3500</v>
      </c>
      <c r="F126" s="41">
        <v>0.2</v>
      </c>
      <c r="G126" s="348">
        <f>E126/(1-F126)</f>
        <v>4375</v>
      </c>
      <c r="H126" s="348">
        <f>5*(50+50+50)</f>
        <v>750</v>
      </c>
      <c r="I126" s="83">
        <v>0.15</v>
      </c>
      <c r="J126" s="79">
        <f>H126*(1+I126)</f>
        <v>862.49999999999989</v>
      </c>
      <c r="K126" s="349">
        <f>J126*D126</f>
        <v>0</v>
      </c>
      <c r="L126" s="350">
        <f>G126+J126</f>
        <v>5237.5</v>
      </c>
      <c r="M126" s="351">
        <f>D126*L126</f>
        <v>0</v>
      </c>
      <c r="N126" s="258"/>
      <c r="O126" s="258"/>
    </row>
    <row r="127" spans="1:15" s="297" customFormat="1" ht="14.5" customHeight="1" thickBot="1" x14ac:dyDescent="0.35">
      <c r="A127" s="381" t="s">
        <v>208</v>
      </c>
      <c r="B127" s="446" t="s">
        <v>209</v>
      </c>
      <c r="C127" s="76" t="s">
        <v>42</v>
      </c>
      <c r="D127" s="50">
        <v>0</v>
      </c>
      <c r="E127" s="51">
        <f>4500*3</f>
        <v>13500</v>
      </c>
      <c r="F127" s="52">
        <v>0.2</v>
      </c>
      <c r="G127" s="376">
        <f>E127/(1-F127)</f>
        <v>16875</v>
      </c>
      <c r="H127" s="376">
        <v>5</v>
      </c>
      <c r="I127" s="84">
        <v>0.15</v>
      </c>
      <c r="J127" s="80">
        <f>H127*(1+I127)</f>
        <v>5.75</v>
      </c>
      <c r="K127" s="382">
        <f>J127*D127</f>
        <v>0</v>
      </c>
      <c r="L127" s="407">
        <f>G127+J127</f>
        <v>16880.75</v>
      </c>
      <c r="M127" s="378">
        <f>D127*L127</f>
        <v>0</v>
      </c>
      <c r="N127" s="258"/>
      <c r="O127" s="258"/>
    </row>
    <row r="128" spans="1:15" s="297" customFormat="1" ht="14.5" customHeight="1" thickBot="1" x14ac:dyDescent="0.35">
      <c r="A128" s="404"/>
      <c r="B128" s="456"/>
      <c r="C128" s="28"/>
      <c r="D128" s="1"/>
      <c r="E128" s="36"/>
      <c r="F128" s="41"/>
      <c r="G128" s="348"/>
      <c r="H128" s="348"/>
      <c r="I128" s="79"/>
      <c r="J128" s="79"/>
      <c r="K128" s="406"/>
      <c r="L128" s="350"/>
      <c r="M128" s="351"/>
      <c r="N128" s="258"/>
      <c r="O128" s="258"/>
    </row>
    <row r="129" spans="1:15" s="297" customFormat="1" ht="14.15" customHeight="1" x14ac:dyDescent="0.3">
      <c r="A129" s="359">
        <v>2.1800000000000002</v>
      </c>
      <c r="B129" s="450"/>
      <c r="C129" s="75"/>
      <c r="D129" s="55" t="s">
        <v>210</v>
      </c>
      <c r="E129" s="56"/>
      <c r="F129" s="57"/>
      <c r="G129" s="361"/>
      <c r="H129" s="361"/>
      <c r="I129" s="56"/>
      <c r="J129" s="56"/>
      <c r="K129" s="362"/>
      <c r="L129" s="363"/>
      <c r="M129" s="363"/>
      <c r="N129" s="258"/>
      <c r="O129" s="258"/>
    </row>
    <row r="130" spans="1:15" s="297" customFormat="1" ht="14.15" customHeight="1" x14ac:dyDescent="0.3">
      <c r="A130" s="341"/>
      <c r="B130" s="454"/>
      <c r="C130" s="29"/>
      <c r="D130" s="1"/>
      <c r="E130" s="36"/>
      <c r="F130" s="41"/>
      <c r="G130" s="348"/>
      <c r="H130" s="348"/>
      <c r="I130" s="79"/>
      <c r="J130" s="79"/>
      <c r="K130" s="349"/>
      <c r="L130" s="350"/>
      <c r="M130" s="351"/>
      <c r="N130" s="258"/>
      <c r="O130" s="258"/>
    </row>
    <row r="131" spans="1:15" s="297" customFormat="1" ht="14.15" customHeight="1" x14ac:dyDescent="0.3">
      <c r="A131" s="341" t="s">
        <v>211</v>
      </c>
      <c r="B131" s="443" t="s">
        <v>243</v>
      </c>
      <c r="C131" s="29" t="s">
        <v>42</v>
      </c>
      <c r="D131" s="1">
        <v>1</v>
      </c>
      <c r="E131" s="36">
        <v>0</v>
      </c>
      <c r="F131" s="41">
        <v>0.2</v>
      </c>
      <c r="G131" s="348">
        <f>E131/(1-F131)</f>
        <v>0</v>
      </c>
      <c r="H131" s="348">
        <f>2500*3</f>
        <v>7500</v>
      </c>
      <c r="I131" s="79"/>
      <c r="J131" s="79"/>
      <c r="K131" s="349">
        <f>H131*D131</f>
        <v>7500</v>
      </c>
      <c r="L131" s="350">
        <f>G131+J131</f>
        <v>0</v>
      </c>
      <c r="M131" s="351">
        <f>D131*L131</f>
        <v>0</v>
      </c>
      <c r="N131" s="258"/>
      <c r="O131" s="258"/>
    </row>
    <row r="132" spans="1:15" s="297" customFormat="1" ht="14.5" customHeight="1" thickBot="1" x14ac:dyDescent="0.35">
      <c r="A132" s="381"/>
      <c r="B132" s="411"/>
      <c r="C132" s="77"/>
      <c r="D132" s="50"/>
      <c r="E132" s="51"/>
      <c r="F132" s="52"/>
      <c r="G132" s="376"/>
      <c r="H132" s="376"/>
      <c r="I132" s="80"/>
      <c r="J132" s="80"/>
      <c r="K132" s="382">
        <f>H132*D132</f>
        <v>0</v>
      </c>
      <c r="L132" s="412"/>
      <c r="M132" s="378"/>
      <c r="N132" s="258"/>
      <c r="O132" s="258"/>
    </row>
    <row r="133" spans="1:15" s="297" customFormat="1" ht="14.15" customHeight="1" x14ac:dyDescent="0.3">
      <c r="A133" s="369"/>
      <c r="B133" s="413"/>
      <c r="C133" s="28"/>
      <c r="D133" s="1"/>
      <c r="E133" s="36"/>
      <c r="F133" s="41"/>
      <c r="G133" s="348"/>
      <c r="H133" s="348"/>
      <c r="I133" s="36"/>
      <c r="J133" s="36"/>
      <c r="K133" s="414"/>
      <c r="L133" s="350"/>
      <c r="M133" s="351"/>
      <c r="N133" s="258"/>
      <c r="O133" s="258"/>
    </row>
    <row r="134" spans="1:15" s="297" customFormat="1" ht="14.15" customHeight="1" x14ac:dyDescent="0.3">
      <c r="A134" s="404">
        <v>2.19</v>
      </c>
      <c r="B134" s="455" t="s">
        <v>213</v>
      </c>
      <c r="C134" s="29"/>
      <c r="D134" s="1"/>
      <c r="E134" s="36"/>
      <c r="F134" s="41"/>
      <c r="G134" s="348"/>
      <c r="H134" s="348"/>
      <c r="I134" s="36"/>
      <c r="J134" s="36"/>
      <c r="K134" s="415">
        <f>H134*D134</f>
        <v>0</v>
      </c>
      <c r="L134" s="350"/>
      <c r="M134" s="351"/>
      <c r="N134" s="258"/>
      <c r="O134" s="258"/>
    </row>
    <row r="135" spans="1:15" s="297" customFormat="1" ht="14.15" customHeight="1" x14ac:dyDescent="0.3">
      <c r="A135" s="404" t="s">
        <v>214</v>
      </c>
      <c r="B135" s="443" t="s">
        <v>215</v>
      </c>
      <c r="C135" s="29" t="s">
        <v>42</v>
      </c>
      <c r="D135" s="1">
        <v>1</v>
      </c>
      <c r="E135" s="36">
        <v>25000</v>
      </c>
      <c r="F135" s="41">
        <v>0</v>
      </c>
      <c r="G135" s="348">
        <f>E135/(1-F135)</f>
        <v>25000</v>
      </c>
      <c r="H135" s="348">
        <v>0</v>
      </c>
      <c r="I135" s="36"/>
      <c r="J135" s="36"/>
      <c r="K135" s="415">
        <f>H135*D135</f>
        <v>0</v>
      </c>
      <c r="L135" s="350">
        <f>G135+H135</f>
        <v>25000</v>
      </c>
      <c r="M135" s="351">
        <f>D135*L135</f>
        <v>25000</v>
      </c>
      <c r="N135" s="258"/>
      <c r="O135" s="258"/>
    </row>
    <row r="136" spans="1:15" s="297" customFormat="1" ht="14.15" customHeight="1" x14ac:dyDescent="0.3">
      <c r="A136" s="404"/>
      <c r="B136" s="455"/>
      <c r="C136" s="29"/>
      <c r="D136" s="1"/>
      <c r="E136" s="36"/>
      <c r="F136" s="41"/>
      <c r="G136" s="348"/>
      <c r="H136" s="348"/>
      <c r="I136" s="36"/>
      <c r="J136" s="36"/>
      <c r="K136" s="415"/>
      <c r="L136" s="350"/>
      <c r="M136" s="351"/>
      <c r="N136" s="258"/>
      <c r="O136" s="258"/>
    </row>
    <row r="137" spans="1:15" s="297" customFormat="1" ht="14.15" customHeight="1" x14ac:dyDescent="0.3">
      <c r="A137" s="416">
        <v>2.2000000000000002</v>
      </c>
      <c r="B137" s="455" t="s">
        <v>216</v>
      </c>
      <c r="C137" s="29"/>
      <c r="D137" s="1"/>
      <c r="E137" s="36"/>
      <c r="F137" s="41"/>
      <c r="G137" s="348"/>
      <c r="H137" s="348"/>
      <c r="I137" s="36"/>
      <c r="J137" s="36"/>
      <c r="K137" s="415">
        <f>H137*D137</f>
        <v>0</v>
      </c>
      <c r="L137" s="350"/>
      <c r="M137" s="351"/>
      <c r="N137" s="258"/>
      <c r="O137" s="258"/>
    </row>
    <row r="138" spans="1:15" s="297" customFormat="1" ht="14.15" customHeight="1" x14ac:dyDescent="0.3">
      <c r="A138" s="404" t="s">
        <v>217</v>
      </c>
      <c r="B138" s="443" t="s">
        <v>218</v>
      </c>
      <c r="C138" s="29" t="s">
        <v>42</v>
      </c>
      <c r="D138" s="1">
        <v>1</v>
      </c>
      <c r="E138" s="36">
        <f>15000</f>
        <v>15000</v>
      </c>
      <c r="F138" s="41">
        <v>0</v>
      </c>
      <c r="G138" s="348">
        <f>E138/(1-F138)</f>
        <v>15000</v>
      </c>
      <c r="H138" s="348">
        <v>0</v>
      </c>
      <c r="I138" s="36"/>
      <c r="J138" s="36"/>
      <c r="K138" s="415">
        <f>H138*D138</f>
        <v>0</v>
      </c>
      <c r="L138" s="350">
        <f>G138+H138</f>
        <v>15000</v>
      </c>
      <c r="M138" s="351">
        <f>D138*L138</f>
        <v>15000</v>
      </c>
      <c r="N138" s="258"/>
      <c r="O138" s="258"/>
    </row>
    <row r="139" spans="1:15" s="297" customFormat="1" ht="14.15" customHeight="1" x14ac:dyDescent="0.3">
      <c r="A139" s="404"/>
      <c r="B139" s="455"/>
      <c r="C139" s="29"/>
      <c r="D139" s="1"/>
      <c r="E139" s="36"/>
      <c r="F139" s="41"/>
      <c r="G139" s="348"/>
      <c r="H139" s="348"/>
      <c r="I139" s="36"/>
      <c r="J139" s="36"/>
      <c r="K139" s="415"/>
      <c r="L139" s="350"/>
      <c r="M139" s="351"/>
      <c r="N139" s="258"/>
      <c r="O139" s="258"/>
    </row>
    <row r="140" spans="1:15" s="297" customFormat="1" ht="14.15" customHeight="1" x14ac:dyDescent="0.3">
      <c r="A140" s="404">
        <v>2.21</v>
      </c>
      <c r="B140" s="455" t="s">
        <v>219</v>
      </c>
      <c r="C140" s="29"/>
      <c r="D140" s="1"/>
      <c r="E140" s="36"/>
      <c r="F140" s="41"/>
      <c r="G140" s="348"/>
      <c r="H140" s="348"/>
      <c r="I140" s="36"/>
      <c r="J140" s="36"/>
      <c r="K140" s="415">
        <f>H140*D140</f>
        <v>0</v>
      </c>
      <c r="L140" s="350"/>
      <c r="M140" s="351"/>
      <c r="N140" s="258"/>
      <c r="O140" s="258"/>
    </row>
    <row r="141" spans="1:15" ht="14.15" customHeight="1" x14ac:dyDescent="0.3">
      <c r="A141" s="404" t="s">
        <v>220</v>
      </c>
      <c r="B141" s="443" t="s">
        <v>221</v>
      </c>
      <c r="C141" s="29" t="s">
        <v>42</v>
      </c>
      <c r="D141" s="1">
        <v>1</v>
      </c>
      <c r="E141" s="36">
        <f>5000</f>
        <v>5000</v>
      </c>
      <c r="F141" s="41">
        <v>0</v>
      </c>
      <c r="G141" s="348">
        <f>E141/(1-F141)</f>
        <v>5000</v>
      </c>
      <c r="H141" s="348">
        <v>0</v>
      </c>
      <c r="I141" s="36"/>
      <c r="J141" s="36"/>
      <c r="K141" s="415">
        <f>H141*D141</f>
        <v>0</v>
      </c>
      <c r="L141" s="350">
        <f>G141+H141</f>
        <v>5000</v>
      </c>
      <c r="M141" s="351">
        <f>D141*L141</f>
        <v>5000</v>
      </c>
      <c r="N141" s="258"/>
      <c r="O141" s="258"/>
    </row>
    <row r="142" spans="1:15" ht="14.15" customHeight="1" x14ac:dyDescent="0.3">
      <c r="A142" s="404" t="s">
        <v>222</v>
      </c>
      <c r="B142" s="443" t="s">
        <v>223</v>
      </c>
      <c r="C142" s="29" t="s">
        <v>42</v>
      </c>
      <c r="D142" s="1">
        <v>1</v>
      </c>
      <c r="E142" s="36">
        <f>50000</f>
        <v>50000</v>
      </c>
      <c r="F142" s="41">
        <v>0</v>
      </c>
      <c r="G142" s="348">
        <f>E142/(1-F142)</f>
        <v>50000</v>
      </c>
      <c r="H142" s="348">
        <v>0</v>
      </c>
      <c r="I142" s="36"/>
      <c r="J142" s="36"/>
      <c r="K142" s="415">
        <f>H142*D142</f>
        <v>0</v>
      </c>
      <c r="L142" s="350">
        <f>G142+H142</f>
        <v>50000</v>
      </c>
      <c r="M142" s="351">
        <f>D142*L142</f>
        <v>50000</v>
      </c>
      <c r="N142" s="258"/>
      <c r="O142" s="258"/>
    </row>
    <row r="143" spans="1:15" ht="14.15" customHeight="1" x14ac:dyDescent="0.3">
      <c r="A143" s="404"/>
      <c r="B143" s="413"/>
      <c r="C143" s="28"/>
      <c r="D143" s="1"/>
      <c r="E143" s="36"/>
      <c r="F143" s="41"/>
      <c r="G143" s="348"/>
      <c r="H143" s="348"/>
      <c r="I143" s="36"/>
      <c r="J143" s="36"/>
      <c r="K143" s="415"/>
      <c r="L143" s="350"/>
      <c r="M143" s="351"/>
      <c r="N143" s="258"/>
      <c r="O143" s="258"/>
    </row>
    <row r="144" spans="1:15" ht="14.15" customHeight="1" x14ac:dyDescent="0.3">
      <c r="A144" s="404">
        <v>2.2200000000000002</v>
      </c>
      <c r="B144" s="455" t="s">
        <v>224</v>
      </c>
      <c r="C144" s="28"/>
      <c r="D144" s="1"/>
      <c r="E144" s="36"/>
      <c r="F144" s="41"/>
      <c r="G144" s="348"/>
      <c r="H144" s="348"/>
      <c r="I144" s="36"/>
      <c r="J144" s="36"/>
      <c r="K144" s="415">
        <f>H144*D144</f>
        <v>0</v>
      </c>
      <c r="L144" s="350"/>
      <c r="M144" s="351"/>
      <c r="N144" s="258"/>
      <c r="O144" s="258"/>
    </row>
    <row r="145" spans="1:15" ht="14.15" customHeight="1" x14ac:dyDescent="0.3">
      <c r="A145" s="404"/>
      <c r="B145" s="413"/>
      <c r="C145" s="28"/>
      <c r="D145" s="1"/>
      <c r="E145" s="36"/>
      <c r="F145" s="41"/>
      <c r="G145" s="348"/>
      <c r="H145" s="348"/>
      <c r="I145" s="36"/>
      <c r="J145" s="36"/>
      <c r="K145" s="415">
        <f>H145*D145</f>
        <v>0</v>
      </c>
      <c r="L145" s="350"/>
      <c r="M145" s="351"/>
      <c r="N145" s="258"/>
      <c r="O145" s="258"/>
    </row>
    <row r="146" spans="1:15" ht="28" customHeight="1" x14ac:dyDescent="0.3">
      <c r="A146" s="404" t="s">
        <v>225</v>
      </c>
      <c r="B146" s="443" t="s">
        <v>226</v>
      </c>
      <c r="C146" s="28" t="s">
        <v>42</v>
      </c>
      <c r="D146" s="1">
        <v>1</v>
      </c>
      <c r="E146" s="36">
        <f>5000*3</f>
        <v>15000</v>
      </c>
      <c r="F146" s="41">
        <v>0.2</v>
      </c>
      <c r="G146" s="348">
        <f>E146/(1-F146)</f>
        <v>18750</v>
      </c>
      <c r="H146" s="348">
        <v>1</v>
      </c>
      <c r="I146" s="36"/>
      <c r="J146" s="36"/>
      <c r="K146" s="415">
        <f>H146*D146</f>
        <v>1</v>
      </c>
      <c r="L146" s="350">
        <f>G146+H146</f>
        <v>18751</v>
      </c>
      <c r="M146" s="351">
        <f>D146*L146</f>
        <v>18751</v>
      </c>
      <c r="N146" s="258"/>
      <c r="O146" s="258"/>
    </row>
    <row r="147" spans="1:15" ht="14.15" customHeight="1" x14ac:dyDescent="0.3">
      <c r="A147" s="404"/>
      <c r="B147" s="413"/>
      <c r="C147" s="28"/>
      <c r="D147" s="1"/>
      <c r="E147" s="36"/>
      <c r="F147" s="41"/>
      <c r="G147" s="348"/>
      <c r="H147" s="348"/>
      <c r="I147" s="36"/>
      <c r="J147" s="36"/>
      <c r="K147" s="417"/>
      <c r="L147" s="350"/>
      <c r="M147" s="418"/>
      <c r="N147" s="258"/>
      <c r="O147" s="258"/>
    </row>
    <row r="148" spans="1:15" ht="14.5" customHeight="1" thickBot="1" x14ac:dyDescent="0.35">
      <c r="A148" s="440"/>
      <c r="B148" s="413"/>
      <c r="C148" s="28"/>
      <c r="D148" s="1"/>
      <c r="E148" s="36"/>
      <c r="F148" s="41"/>
      <c r="G148" s="348"/>
      <c r="H148" s="348"/>
      <c r="I148" s="36"/>
      <c r="J148" s="36"/>
      <c r="K148" s="417"/>
      <c r="L148" s="350"/>
      <c r="M148" s="418"/>
      <c r="N148" s="258"/>
      <c r="O148" s="258"/>
    </row>
    <row r="149" spans="1:15" ht="18.75" customHeight="1" thickTop="1" x14ac:dyDescent="0.3">
      <c r="A149" s="419"/>
      <c r="B149" s="457" t="s">
        <v>227</v>
      </c>
      <c r="C149" s="2"/>
      <c r="D149" s="2"/>
      <c r="E149" s="39"/>
      <c r="F149" s="42"/>
      <c r="G149" s="421"/>
      <c r="H149" s="421"/>
      <c r="I149" s="39"/>
      <c r="J149" s="39"/>
      <c r="K149" s="422">
        <f>SUM(K11:K146)</f>
        <v>96562.75</v>
      </c>
      <c r="L149" s="458"/>
      <c r="M149" s="424">
        <f>SUM(M11:M148)</f>
        <v>1014828.0761011905</v>
      </c>
      <c r="N149" s="258">
        <f>M149*1.15</f>
        <v>1167052.287516369</v>
      </c>
      <c r="O149" s="258"/>
    </row>
    <row r="150" spans="1:15" ht="16.5" customHeight="1" x14ac:dyDescent="0.3">
      <c r="A150" s="426"/>
      <c r="B150" s="427"/>
      <c r="C150" s="257"/>
      <c r="D150" s="47"/>
      <c r="E150" s="250"/>
      <c r="F150" s="48"/>
      <c r="G150" s="428"/>
      <c r="H150" s="428"/>
      <c r="I150" s="250"/>
      <c r="J150" s="250"/>
      <c r="K150" s="429"/>
      <c r="L150" s="430"/>
      <c r="M150" s="431"/>
      <c r="N150" s="258"/>
      <c r="O150" s="258"/>
    </row>
    <row r="151" spans="1:15" ht="18.75" customHeight="1" x14ac:dyDescent="0.3">
      <c r="A151" s="258"/>
      <c r="B151" s="387"/>
      <c r="C151" s="34"/>
      <c r="D151" s="249"/>
      <c r="E151" s="249"/>
      <c r="F151" s="249"/>
      <c r="G151" s="432"/>
      <c r="H151" s="432"/>
      <c r="I151" s="249"/>
      <c r="J151" s="249"/>
      <c r="K151" s="432"/>
      <c r="L151" s="433"/>
      <c r="M151" s="434"/>
      <c r="N151" s="258"/>
      <c r="O151" s="258"/>
    </row>
    <row r="152" spans="1:15" ht="18.75" customHeight="1" x14ac:dyDescent="0.25"/>
    <row r="153" spans="1:15" ht="18.75" customHeight="1" x14ac:dyDescent="0.25"/>
    <row r="154" spans="1:15" ht="18.75" customHeight="1" x14ac:dyDescent="0.25"/>
    <row r="155" spans="1:15" ht="18.75" customHeight="1" x14ac:dyDescent="0.25"/>
    <row r="156" spans="1:15" ht="18.75" customHeight="1" x14ac:dyDescent="0.25"/>
    <row r="157" spans="1:15" ht="18.75" customHeight="1" x14ac:dyDescent="0.25"/>
    <row r="158" spans="1:15" ht="18.75" customHeight="1" x14ac:dyDescent="0.25"/>
    <row r="159" spans="1:15" ht="18.75" customHeight="1" x14ac:dyDescent="0.25"/>
    <row r="160" spans="1:15" ht="18.75" customHeight="1" x14ac:dyDescent="0.25"/>
    <row r="161" ht="18.75" customHeight="1" x14ac:dyDescent="0.25"/>
    <row r="162" ht="18.75" customHeight="1" x14ac:dyDescent="0.25"/>
    <row r="163" ht="18.75" customHeight="1" x14ac:dyDescent="0.25"/>
    <row r="164" ht="18.75" customHeight="1" x14ac:dyDescent="0.25"/>
    <row r="165" ht="18.75" customHeight="1" x14ac:dyDescent="0.25"/>
    <row r="166" ht="18.75" customHeight="1" x14ac:dyDescent="0.25"/>
    <row r="167" ht="18.75" customHeight="1" x14ac:dyDescent="0.25"/>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174"/>
  <sheetViews>
    <sheetView view="pageBreakPreview" zoomScale="70" zoomScaleNormal="100" zoomScaleSheetLayoutView="70" workbookViewId="0">
      <pane ySplit="5" topLeftCell="A9" activePane="bottomLeft" state="frozen"/>
      <selection pane="bottomLeft" activeCell="M26" activeCellId="1" sqref="M11 M26"/>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0" width="13.81640625" style="8" customWidth="1"/>
    <col min="11" max="11" width="14.81640625" style="8" bestFit="1" customWidth="1"/>
    <col min="12" max="12" width="13.54296875" style="295" bestFit="1"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5" t="s">
        <v>36</v>
      </c>
      <c r="E5" s="40" t="s">
        <v>72</v>
      </c>
      <c r="F5" s="82" t="s">
        <v>73</v>
      </c>
      <c r="G5" s="313" t="s">
        <v>74</v>
      </c>
      <c r="H5" s="314" t="s">
        <v>75</v>
      </c>
      <c r="I5" s="82" t="s">
        <v>73</v>
      </c>
      <c r="J5" s="315" t="s">
        <v>76</v>
      </c>
      <c r="K5" s="316"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347" t="s">
        <v>419</v>
      </c>
      <c r="C11" s="248" t="s">
        <v>85</v>
      </c>
      <c r="D11" s="1">
        <v>983</v>
      </c>
      <c r="E11" s="36">
        <f>1623.93*1.2</f>
        <v>1948.7159999999999</v>
      </c>
      <c r="F11" s="41">
        <v>0.25</v>
      </c>
      <c r="G11" s="348">
        <f>E11/(1-F11)</f>
        <v>2598.288</v>
      </c>
      <c r="H11" s="348">
        <v>350</v>
      </c>
      <c r="I11" s="83">
        <v>0.15</v>
      </c>
      <c r="J11" s="79">
        <f>H11*(1+I11)</f>
        <v>402.49999999999994</v>
      </c>
      <c r="K11" s="349">
        <f>J11*D11</f>
        <v>395657.49999999994</v>
      </c>
      <c r="L11" s="350">
        <f>G11+J11</f>
        <v>3000.788</v>
      </c>
      <c r="M11" s="351">
        <f>D11*L11</f>
        <v>2949774.6039999998</v>
      </c>
      <c r="N11" s="258"/>
      <c r="O11" s="258"/>
    </row>
    <row r="12" spans="1:15" ht="14.5" customHeight="1" thickBot="1" x14ac:dyDescent="0.35">
      <c r="A12" s="354"/>
      <c r="B12" s="441"/>
      <c r="C12" s="89"/>
      <c r="D12" s="72"/>
      <c r="E12" s="73"/>
      <c r="F12" s="74"/>
      <c r="G12" s="356"/>
      <c r="H12" s="356"/>
      <c r="I12" s="73"/>
      <c r="J12" s="73"/>
      <c r="K12" s="357"/>
      <c r="L12" s="358"/>
      <c r="M12" s="358"/>
      <c r="N12" s="258"/>
      <c r="O12" s="258"/>
    </row>
    <row r="13" spans="1:15" ht="14.15" customHeight="1" x14ac:dyDescent="0.3">
      <c r="A13" s="359" t="s">
        <v>86</v>
      </c>
      <c r="B13" s="360"/>
      <c r="C13" s="55"/>
      <c r="D13" s="58" t="s">
        <v>87</v>
      </c>
      <c r="E13" s="56"/>
      <c r="F13" s="57"/>
      <c r="G13" s="361"/>
      <c r="H13" s="361"/>
      <c r="I13" s="56"/>
      <c r="J13" s="56"/>
      <c r="K13" s="362"/>
      <c r="L13" s="363"/>
      <c r="M13" s="363"/>
      <c r="N13" s="258"/>
      <c r="O13" s="258"/>
    </row>
    <row r="14" spans="1:15" ht="14.5" customHeight="1" thickBot="1" x14ac:dyDescent="0.35">
      <c r="A14" s="341" t="s">
        <v>88</v>
      </c>
      <c r="B14" s="517" t="s">
        <v>420</v>
      </c>
      <c r="C14" s="85" t="s">
        <v>85</v>
      </c>
      <c r="D14" s="50">
        <v>3</v>
      </c>
      <c r="E14" s="36">
        <v>487501.10399999999</v>
      </c>
      <c r="F14" s="41">
        <v>0.2</v>
      </c>
      <c r="G14" s="348">
        <f>E14/(1-F14)</f>
        <v>609376.38</v>
      </c>
      <c r="H14" s="348">
        <f>(550*8)+3600</f>
        <v>8000</v>
      </c>
      <c r="I14" s="83">
        <v>0.15</v>
      </c>
      <c r="J14" s="79">
        <f>H14*(1+I14)</f>
        <v>9200</v>
      </c>
      <c r="K14" s="349">
        <f>J14*D14</f>
        <v>27600</v>
      </c>
      <c r="L14" s="350">
        <f>G14+J14</f>
        <v>618576.38</v>
      </c>
      <c r="M14" s="351">
        <f>D14*L14</f>
        <v>1855729.1400000001</v>
      </c>
      <c r="N14" s="258"/>
      <c r="O14" s="258"/>
    </row>
    <row r="15" spans="1:15" ht="14.5" customHeight="1" thickBot="1" x14ac:dyDescent="0.35">
      <c r="A15" s="354"/>
      <c r="B15" s="441"/>
      <c r="C15" s="89"/>
      <c r="D15" s="72"/>
      <c r="E15" s="73"/>
      <c r="F15" s="74"/>
      <c r="G15" s="356"/>
      <c r="H15" s="356"/>
      <c r="I15" s="73"/>
      <c r="J15" s="73"/>
      <c r="K15" s="357"/>
      <c r="L15" s="358"/>
      <c r="M15" s="358"/>
      <c r="N15" s="258"/>
      <c r="O15" s="258"/>
    </row>
    <row r="16" spans="1:15" ht="14.15" customHeight="1" x14ac:dyDescent="0.3">
      <c r="A16" s="359">
        <v>2.2999999999999998</v>
      </c>
      <c r="B16" s="367"/>
      <c r="C16" s="55"/>
      <c r="D16" s="58" t="s">
        <v>91</v>
      </c>
      <c r="E16" s="56"/>
      <c r="F16" s="57"/>
      <c r="G16" s="361"/>
      <c r="H16" s="361"/>
      <c r="I16" s="56"/>
      <c r="J16" s="56"/>
      <c r="K16" s="362"/>
      <c r="L16" s="363"/>
      <c r="M16" s="363"/>
      <c r="N16" s="258"/>
      <c r="O16" s="258"/>
    </row>
    <row r="17" spans="1:15" ht="14.5" customHeight="1" thickBot="1" x14ac:dyDescent="0.35">
      <c r="A17" s="341" t="s">
        <v>92</v>
      </c>
      <c r="B17" s="446" t="s">
        <v>421</v>
      </c>
      <c r="C17" s="85" t="s">
        <v>85</v>
      </c>
      <c r="D17" s="50">
        <v>3</v>
      </c>
      <c r="E17" s="51">
        <v>90693.34</v>
      </c>
      <c r="F17" s="41">
        <v>0.2</v>
      </c>
      <c r="G17" s="348">
        <f>E17/(1-F17)</f>
        <v>113366.67499999999</v>
      </c>
      <c r="H17" s="348">
        <f>(550*4)+3500</f>
        <v>5700</v>
      </c>
      <c r="I17" s="83">
        <v>0.15</v>
      </c>
      <c r="J17" s="79">
        <f>H17*(1+I17)</f>
        <v>6554.9999999999991</v>
      </c>
      <c r="K17" s="349">
        <f>J17*D17</f>
        <v>19664.999999999996</v>
      </c>
      <c r="L17" s="350">
        <f>G17+J17</f>
        <v>119921.67499999999</v>
      </c>
      <c r="M17" s="351">
        <f>D17*L17</f>
        <v>359765.02499999997</v>
      </c>
      <c r="N17" s="258"/>
      <c r="O17" s="258"/>
    </row>
    <row r="18" spans="1:15" ht="14.5" customHeight="1" thickBot="1" x14ac:dyDescent="0.35">
      <c r="A18" s="341" t="s">
        <v>94</v>
      </c>
      <c r="B18" s="444" t="s">
        <v>422</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436"/>
      <c r="O18" s="369"/>
    </row>
    <row r="19" spans="1:15" ht="14.15" customHeight="1" x14ac:dyDescent="0.3">
      <c r="A19" s="359">
        <v>2.4</v>
      </c>
      <c r="B19" s="360"/>
      <c r="C19" s="55"/>
      <c r="D19" s="58" t="s">
        <v>96</v>
      </c>
      <c r="E19" s="56"/>
      <c r="F19" s="57"/>
      <c r="G19" s="361"/>
      <c r="H19" s="361"/>
      <c r="I19" s="56"/>
      <c r="J19" s="56"/>
      <c r="K19" s="362"/>
      <c r="L19" s="363"/>
      <c r="M19" s="363"/>
      <c r="N19" s="258"/>
      <c r="O19" s="258"/>
    </row>
    <row r="20" spans="1:15" ht="28" customHeight="1" x14ac:dyDescent="0.3">
      <c r="A20" s="370" t="s">
        <v>97</v>
      </c>
      <c r="B20" s="445" t="s">
        <v>423</v>
      </c>
      <c r="C20" s="7" t="s">
        <v>85</v>
      </c>
      <c r="D20" s="7">
        <v>5</v>
      </c>
      <c r="E20" s="37">
        <v>1087743.0959999999</v>
      </c>
      <c r="F20" s="41">
        <v>0.2</v>
      </c>
      <c r="G20" s="348">
        <f>E20/(1-F20)</f>
        <v>1359678.8699999999</v>
      </c>
      <c r="H20" s="371">
        <f>(550*8)+3600</f>
        <v>8000</v>
      </c>
      <c r="I20" s="83">
        <v>0.15</v>
      </c>
      <c r="J20" s="79">
        <f>H20*(1+I20)</f>
        <v>9200</v>
      </c>
      <c r="K20" s="349">
        <f>J20*D20</f>
        <v>46000</v>
      </c>
      <c r="L20" s="350">
        <f>G20+J20</f>
        <v>1368878.8699999999</v>
      </c>
      <c r="M20" s="351">
        <f>D20*L20</f>
        <v>6844394.3499999996</v>
      </c>
      <c r="N20" s="258"/>
      <c r="O20" s="258"/>
    </row>
    <row r="21" spans="1:15" ht="14.15" customHeight="1" x14ac:dyDescent="0.3">
      <c r="A21" s="370"/>
      <c r="B21" s="443"/>
      <c r="C21" s="7"/>
      <c r="D21" s="7"/>
      <c r="E21" s="37"/>
      <c r="F21" s="41"/>
      <c r="G21" s="348"/>
      <c r="H21" s="371"/>
      <c r="I21" s="66"/>
      <c r="J21" s="66"/>
      <c r="K21" s="349"/>
      <c r="L21" s="350"/>
      <c r="M21" s="351"/>
      <c r="N21" s="258"/>
      <c r="O21" s="258"/>
    </row>
    <row r="22" spans="1:15" ht="14.15" customHeight="1" x14ac:dyDescent="0.3">
      <c r="A22" s="370" t="s">
        <v>99</v>
      </c>
      <c r="B22" s="443"/>
      <c r="C22" s="7"/>
      <c r="D22" s="7"/>
      <c r="E22" s="37"/>
      <c r="F22" s="41"/>
      <c r="G22" s="348"/>
      <c r="H22" s="371"/>
      <c r="I22" s="66"/>
      <c r="J22" s="66"/>
      <c r="K22" s="349"/>
      <c r="L22" s="350"/>
      <c r="M22" s="351"/>
      <c r="N22" s="258"/>
      <c r="O22" s="258"/>
    </row>
    <row r="23" spans="1:15" ht="28.5" customHeight="1" thickBot="1" x14ac:dyDescent="0.35">
      <c r="A23" s="374"/>
      <c r="B23" s="446" t="s">
        <v>100</v>
      </c>
      <c r="C23" s="68" t="s">
        <v>85</v>
      </c>
      <c r="D23" s="68">
        <v>10</v>
      </c>
      <c r="E23" s="69">
        <f>1888.71*1.15</f>
        <v>2172.0164999999997</v>
      </c>
      <c r="F23" s="52">
        <v>0.2</v>
      </c>
      <c r="G23" s="376">
        <f>E23/(1-F23)</f>
        <v>2715.0206249999997</v>
      </c>
      <c r="H23" s="377">
        <f>250*1</f>
        <v>250</v>
      </c>
      <c r="I23" s="83">
        <v>0.15</v>
      </c>
      <c r="J23" s="79">
        <f>H23*(1+I23)</f>
        <v>287.5</v>
      </c>
      <c r="K23" s="349">
        <f>J23*D23</f>
        <v>2875</v>
      </c>
      <c r="L23" s="350">
        <f>G23+J23</f>
        <v>3002.5206249999997</v>
      </c>
      <c r="M23" s="378">
        <f>D23*L23</f>
        <v>30025.206249999996</v>
      </c>
      <c r="N23" s="258"/>
      <c r="O23" s="258"/>
    </row>
    <row r="24" spans="1:15" ht="14.5" customHeight="1" thickBot="1" x14ac:dyDescent="0.35">
      <c r="A24" s="354"/>
      <c r="B24" s="441"/>
      <c r="C24" s="89"/>
      <c r="D24" s="72"/>
      <c r="E24" s="73"/>
      <c r="F24" s="74"/>
      <c r="G24" s="356"/>
      <c r="H24" s="356"/>
      <c r="I24" s="73"/>
      <c r="J24" s="73"/>
      <c r="K24" s="357"/>
      <c r="L24" s="358"/>
      <c r="M24" s="358"/>
      <c r="N24" s="258"/>
      <c r="O24" s="258"/>
    </row>
    <row r="25" spans="1:15" ht="14.15" customHeight="1" x14ac:dyDescent="0.3">
      <c r="A25" s="379">
        <v>2.5</v>
      </c>
      <c r="B25" s="360"/>
      <c r="C25" s="55"/>
      <c r="D25" s="58" t="s">
        <v>101</v>
      </c>
      <c r="E25" s="56"/>
      <c r="F25" s="57"/>
      <c r="G25" s="361"/>
      <c r="H25" s="361"/>
      <c r="I25" s="56"/>
      <c r="J25" s="56"/>
      <c r="K25" s="362"/>
      <c r="L25" s="363"/>
      <c r="M25" s="363"/>
      <c r="N25" s="258"/>
      <c r="O25" s="258"/>
    </row>
    <row r="26" spans="1:15" ht="14.15" customHeight="1" x14ac:dyDescent="0.3">
      <c r="A26" s="380" t="s">
        <v>102</v>
      </c>
      <c r="B26" s="444" t="s">
        <v>103</v>
      </c>
      <c r="C26" s="7" t="s">
        <v>85</v>
      </c>
      <c r="D26" s="7">
        <f>D11</f>
        <v>983</v>
      </c>
      <c r="E26" s="37">
        <v>650</v>
      </c>
      <c r="F26" s="41">
        <v>0.2</v>
      </c>
      <c r="G26" s="348">
        <f>E26/(1-F26)</f>
        <v>812.5</v>
      </c>
      <c r="H26" s="371">
        <f>(((5*200)*4)*1.2)/D26</f>
        <v>4.8830111902339777</v>
      </c>
      <c r="I26" s="83">
        <v>0.15</v>
      </c>
      <c r="J26" s="79">
        <f>H26*(1+I26)</f>
        <v>5.6154628687690735</v>
      </c>
      <c r="K26" s="349">
        <f>J26*D26</f>
        <v>5519.9999999999991</v>
      </c>
      <c r="L26" s="350">
        <f>G26+J26</f>
        <v>818.1154628687691</v>
      </c>
      <c r="M26" s="351">
        <f>D26*L26</f>
        <v>804207.5</v>
      </c>
      <c r="N26" s="258"/>
      <c r="O26" s="258"/>
    </row>
    <row r="27" spans="1:15" ht="14.5" customHeight="1" thickBot="1" x14ac:dyDescent="0.35">
      <c r="A27" s="381"/>
      <c r="B27" s="446" t="s">
        <v>104</v>
      </c>
      <c r="C27" s="85"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441"/>
      <c r="C28" s="89"/>
      <c r="D28" s="72"/>
      <c r="E28" s="73"/>
      <c r="F28" s="74"/>
      <c r="G28" s="356"/>
      <c r="H28" s="356"/>
      <c r="I28" s="73"/>
      <c r="J28" s="73"/>
      <c r="K28" s="357"/>
      <c r="L28" s="358"/>
      <c r="M28" s="358"/>
      <c r="N28" s="258"/>
      <c r="O28" s="258"/>
    </row>
    <row r="29" spans="1:15" ht="14.15" customHeight="1" x14ac:dyDescent="0.3">
      <c r="A29" s="359">
        <v>2.6</v>
      </c>
      <c r="B29" s="360"/>
      <c r="C29" s="55"/>
      <c r="D29" s="58" t="s">
        <v>105</v>
      </c>
      <c r="E29" s="56"/>
      <c r="F29" s="57"/>
      <c r="G29" s="361"/>
      <c r="H29" s="361"/>
      <c r="I29" s="56"/>
      <c r="J29" s="56"/>
      <c r="K29" s="362"/>
      <c r="L29" s="363"/>
      <c r="M29" s="363"/>
      <c r="N29" s="258"/>
      <c r="O29" s="258"/>
    </row>
    <row r="30" spans="1:15" ht="42" customHeight="1" x14ac:dyDescent="0.3">
      <c r="A30" s="341" t="s">
        <v>106</v>
      </c>
      <c r="B30" s="444" t="s">
        <v>107</v>
      </c>
      <c r="C30" s="248" t="s">
        <v>108</v>
      </c>
      <c r="D30" s="1">
        <v>2000</v>
      </c>
      <c r="E30" s="36">
        <f>14.85*1.15</f>
        <v>17.077499999999997</v>
      </c>
      <c r="F30" s="41">
        <v>0.2</v>
      </c>
      <c r="G30" s="348">
        <f>E30/(1-F30)</f>
        <v>21.346874999999994</v>
      </c>
      <c r="H30" s="348">
        <f>39</f>
        <v>39</v>
      </c>
      <c r="I30" s="83">
        <v>0.15</v>
      </c>
      <c r="J30" s="79">
        <f>H30*(1+I30)</f>
        <v>44.849999999999994</v>
      </c>
      <c r="K30" s="349">
        <f>J30*D30</f>
        <v>89699.999999999985</v>
      </c>
      <c r="L30" s="350">
        <f>G30+J30</f>
        <v>66.196874999999991</v>
      </c>
      <c r="M30" s="351">
        <f>D30*L30</f>
        <v>132393.74999999997</v>
      </c>
      <c r="N30" s="258"/>
      <c r="O30" s="258"/>
    </row>
    <row r="31" spans="1:15" ht="14.15" customHeight="1" x14ac:dyDescent="0.3">
      <c r="A31" s="341" t="s">
        <v>109</v>
      </c>
      <c r="B31" s="443" t="s">
        <v>110</v>
      </c>
      <c r="C31" s="248" t="s">
        <v>108</v>
      </c>
      <c r="D31" s="1">
        <f>20 +N("1m * 20 cables")</f>
        <v>20</v>
      </c>
      <c r="E31" s="36">
        <f>180*1.15</f>
        <v>206.99999999999997</v>
      </c>
      <c r="F31" s="41">
        <v>0.2</v>
      </c>
      <c r="G31" s="348">
        <f>E31/(1-F31)</f>
        <v>258.74999999999994</v>
      </c>
      <c r="H31" s="348">
        <f>65</f>
        <v>65</v>
      </c>
      <c r="I31" s="83">
        <v>0.15</v>
      </c>
      <c r="J31" s="79">
        <f>H31*(1+I31)</f>
        <v>74.75</v>
      </c>
      <c r="K31" s="349">
        <f>J31*D31</f>
        <v>1495</v>
      </c>
      <c r="L31" s="350">
        <f>G31+J31</f>
        <v>333.49999999999994</v>
      </c>
      <c r="M31" s="351">
        <f>D31*L31</f>
        <v>6669.9999999999991</v>
      </c>
      <c r="N31" s="258"/>
      <c r="O31" s="258"/>
    </row>
    <row r="32" spans="1:15" ht="14.15" customHeight="1" x14ac:dyDescent="0.3">
      <c r="A32" s="341" t="s">
        <v>111</v>
      </c>
      <c r="B32" s="443" t="s">
        <v>112</v>
      </c>
      <c r="C32" s="248"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258"/>
    </row>
    <row r="33" spans="1:15" ht="14.5" customHeight="1" thickBot="1" x14ac:dyDescent="0.35">
      <c r="A33" s="381"/>
      <c r="B33" s="447" t="s">
        <v>113</v>
      </c>
      <c r="C33" s="85"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441"/>
      <c r="C34" s="89"/>
      <c r="D34" s="72"/>
      <c r="E34" s="73"/>
      <c r="F34" s="74"/>
      <c r="G34" s="356"/>
      <c r="H34" s="356"/>
      <c r="I34" s="73"/>
      <c r="J34" s="73"/>
      <c r="K34" s="357"/>
      <c r="L34" s="358"/>
      <c r="M34" s="358"/>
      <c r="N34" s="258"/>
      <c r="O34" s="258"/>
    </row>
    <row r="35" spans="1:15" ht="14.15" customHeight="1" x14ac:dyDescent="0.3">
      <c r="A35" s="359">
        <v>2.7</v>
      </c>
      <c r="B35" s="360"/>
      <c r="C35" s="55"/>
      <c r="D35" s="58" t="s">
        <v>114</v>
      </c>
      <c r="E35" s="56"/>
      <c r="F35" s="57"/>
      <c r="G35" s="361"/>
      <c r="H35" s="361"/>
      <c r="I35" s="56"/>
      <c r="J35" s="56"/>
      <c r="K35" s="362"/>
      <c r="L35" s="363"/>
      <c r="M35" s="363"/>
      <c r="N35" s="258"/>
      <c r="O35" s="258"/>
    </row>
    <row r="36" spans="1:15" ht="28" customHeight="1" x14ac:dyDescent="0.3">
      <c r="A36" s="370" t="s">
        <v>115</v>
      </c>
      <c r="B36" s="444" t="s">
        <v>116</v>
      </c>
      <c r="C36" s="7" t="s">
        <v>90</v>
      </c>
      <c r="D36" s="7">
        <v>0</v>
      </c>
      <c r="E36" s="37">
        <f>13501.37*1.2</f>
        <v>16201.644</v>
      </c>
      <c r="F36" s="41">
        <v>0.2</v>
      </c>
      <c r="G36" s="348">
        <f>E36/(1-F36)</f>
        <v>20252.055</v>
      </c>
      <c r="H36" s="371">
        <f>250*2</f>
        <v>500</v>
      </c>
      <c r="I36" s="83">
        <v>0.15</v>
      </c>
      <c r="J36" s="79">
        <f>H36*(1+I36)</f>
        <v>575</v>
      </c>
      <c r="K36" s="349">
        <f>J36*D36</f>
        <v>0</v>
      </c>
      <c r="L36" s="350">
        <f>G36+J36</f>
        <v>20827.055</v>
      </c>
      <c r="M36" s="351">
        <f>D36*L36</f>
        <v>0</v>
      </c>
      <c r="N36" s="258"/>
      <c r="O36" s="258"/>
    </row>
    <row r="37" spans="1:15" ht="28.5" customHeight="1" thickBot="1" x14ac:dyDescent="0.35">
      <c r="A37" s="381" t="s">
        <v>117</v>
      </c>
      <c r="B37" s="446" t="s">
        <v>424</v>
      </c>
      <c r="C37" s="68" t="s">
        <v>90</v>
      </c>
      <c r="D37" s="68">
        <v>6</v>
      </c>
      <c r="E37" s="69">
        <v>17000</v>
      </c>
      <c r="F37" s="52">
        <v>0.2</v>
      </c>
      <c r="G37" s="376">
        <f>E37/(1-F37)</f>
        <v>21250</v>
      </c>
      <c r="H37" s="377">
        <f>250*2</f>
        <v>500</v>
      </c>
      <c r="I37" s="83">
        <v>0.15</v>
      </c>
      <c r="J37" s="79">
        <f>H37*(1+I37)</f>
        <v>575</v>
      </c>
      <c r="K37" s="382">
        <f>J37*D37</f>
        <v>3450</v>
      </c>
      <c r="L37" s="350">
        <f>G37+J37</f>
        <v>21825</v>
      </c>
      <c r="M37" s="378">
        <f>D37*L37</f>
        <v>130950</v>
      </c>
      <c r="N37" s="258"/>
      <c r="O37" s="258"/>
    </row>
    <row r="38" spans="1:15" ht="14.5" customHeight="1" thickBot="1" x14ac:dyDescent="0.35">
      <c r="A38" s="354"/>
      <c r="B38" s="441"/>
      <c r="C38" s="89"/>
      <c r="D38" s="72"/>
      <c r="E38" s="73"/>
      <c r="F38" s="74"/>
      <c r="G38" s="356"/>
      <c r="H38" s="356"/>
      <c r="I38" s="73"/>
      <c r="J38" s="73"/>
      <c r="K38" s="357"/>
      <c r="L38" s="358"/>
      <c r="M38" s="358"/>
      <c r="N38" s="258"/>
      <c r="O38" s="258"/>
    </row>
    <row r="39" spans="1:15" ht="16.5" customHeight="1" x14ac:dyDescent="0.3">
      <c r="A39" s="359">
        <v>2.8</v>
      </c>
      <c r="B39" s="360"/>
      <c r="C39" s="55"/>
      <c r="D39" s="58" t="s">
        <v>119</v>
      </c>
      <c r="E39" s="56"/>
      <c r="F39" s="57"/>
      <c r="G39" s="361"/>
      <c r="H39" s="361"/>
      <c r="I39" s="56"/>
      <c r="J39" s="56"/>
      <c r="K39" s="362"/>
      <c r="L39" s="363"/>
      <c r="M39" s="363"/>
      <c r="N39" s="258"/>
      <c r="O39" s="258"/>
    </row>
    <row r="40" spans="1:15" ht="16.5" customHeight="1" x14ac:dyDescent="0.3">
      <c r="A40" s="384"/>
      <c r="B40" s="342"/>
      <c r="C40" s="248"/>
      <c r="D40" s="1"/>
      <c r="E40" s="36"/>
      <c r="F40" s="41"/>
      <c r="G40" s="348"/>
      <c r="H40" s="348"/>
      <c r="I40" s="83"/>
      <c r="J40" s="79"/>
      <c r="K40" s="349"/>
      <c r="L40" s="350"/>
      <c r="M40" s="351"/>
      <c r="N40" s="258"/>
      <c r="O40" s="258"/>
    </row>
    <row r="41" spans="1:15" ht="14.15" customHeight="1" x14ac:dyDescent="0.3">
      <c r="A41" s="341" t="s">
        <v>120</v>
      </c>
      <c r="B41" s="385" t="s">
        <v>121</v>
      </c>
      <c r="C41" s="248" t="s">
        <v>85</v>
      </c>
      <c r="D41" s="1">
        <v>3</v>
      </c>
      <c r="E41" s="36">
        <v>2500</v>
      </c>
      <c r="F41" s="41">
        <v>0.2</v>
      </c>
      <c r="G41" s="348">
        <f>E41/(1-F41)</f>
        <v>3125</v>
      </c>
      <c r="H41" s="348">
        <f>(250+100)*4</f>
        <v>1400</v>
      </c>
      <c r="I41" s="83">
        <v>0.15</v>
      </c>
      <c r="J41" s="79">
        <f>H41*(1+I41)</f>
        <v>1609.9999999999998</v>
      </c>
      <c r="K41" s="349">
        <f>J41*D41</f>
        <v>4829.9999999999991</v>
      </c>
      <c r="L41" s="350">
        <f>G41+J41</f>
        <v>4735</v>
      </c>
      <c r="M41" s="351">
        <f>D41*L41</f>
        <v>14205</v>
      </c>
      <c r="N41" s="258"/>
      <c r="O41" s="258"/>
    </row>
    <row r="42" spans="1:15" ht="14.15" customHeight="1" x14ac:dyDescent="0.3">
      <c r="A42" s="341"/>
      <c r="B42" s="448"/>
      <c r="C42" s="88"/>
      <c r="D42" s="1"/>
      <c r="E42" s="36"/>
      <c r="F42" s="41"/>
      <c r="G42" s="348"/>
      <c r="H42" s="348"/>
      <c r="I42" s="79"/>
      <c r="J42" s="79"/>
      <c r="K42" s="349"/>
      <c r="L42" s="350"/>
      <c r="M42" s="351"/>
      <c r="N42" s="258"/>
      <c r="O42" s="258"/>
    </row>
    <row r="43" spans="1:15" ht="14.15" customHeight="1" x14ac:dyDescent="0.3">
      <c r="A43" s="341" t="s">
        <v>122</v>
      </c>
      <c r="B43" s="385" t="s">
        <v>123</v>
      </c>
      <c r="C43" s="248" t="s">
        <v>85</v>
      </c>
      <c r="D43" s="1">
        <f>6 + N("Isolator on each inverter in and out") + 10 + N("For labs")</f>
        <v>16</v>
      </c>
      <c r="E43" s="36">
        <v>1800</v>
      </c>
      <c r="F43" s="41">
        <v>0.2</v>
      </c>
      <c r="G43" s="348">
        <f>E43/(1-F43)</f>
        <v>2250</v>
      </c>
      <c r="H43" s="348">
        <f>(250+100)*4</f>
        <v>1400</v>
      </c>
      <c r="I43" s="83">
        <v>0.15</v>
      </c>
      <c r="J43" s="79">
        <f>H43*(1+I43)</f>
        <v>1609.9999999999998</v>
      </c>
      <c r="K43" s="349">
        <f>J43*D43</f>
        <v>25759.999999999996</v>
      </c>
      <c r="L43" s="350">
        <f>G43+J43</f>
        <v>3860</v>
      </c>
      <c r="M43" s="351">
        <f>D43*L43</f>
        <v>61760</v>
      </c>
      <c r="N43" s="258"/>
      <c r="O43" s="258"/>
    </row>
    <row r="44" spans="1:15" ht="14.15" customHeight="1" x14ac:dyDescent="0.3">
      <c r="A44" s="341"/>
      <c r="B44" s="385"/>
      <c r="C44" s="248"/>
      <c r="D44" s="1"/>
      <c r="E44" s="36"/>
      <c r="F44" s="41"/>
      <c r="G44" s="348"/>
      <c r="H44" s="348"/>
      <c r="I44" s="79"/>
      <c r="J44" s="79"/>
      <c r="K44" s="349"/>
      <c r="L44" s="350"/>
      <c r="M44" s="351"/>
      <c r="N44" s="258"/>
      <c r="O44" s="258"/>
    </row>
    <row r="45" spans="1:15" ht="14.15" customHeight="1" x14ac:dyDescent="0.3">
      <c r="A45" s="341" t="s">
        <v>124</v>
      </c>
      <c r="B45" s="385" t="s">
        <v>125</v>
      </c>
      <c r="C45" s="248" t="s">
        <v>85</v>
      </c>
      <c r="D45" s="1">
        <v>10</v>
      </c>
      <c r="E45" s="36">
        <f>550*1.2</f>
        <v>660</v>
      </c>
      <c r="F45" s="41">
        <v>0.2</v>
      </c>
      <c r="G45" s="348">
        <f>E45/(1-F45)</f>
        <v>825</v>
      </c>
      <c r="H45" s="348">
        <f>(250+100)*4</f>
        <v>1400</v>
      </c>
      <c r="I45" s="83">
        <v>0.15</v>
      </c>
      <c r="J45" s="79">
        <f>H45*(1+I45)</f>
        <v>1609.9999999999998</v>
      </c>
      <c r="K45" s="349">
        <f>J45*D45</f>
        <v>16099.999999999998</v>
      </c>
      <c r="L45" s="350">
        <f>G45+J45</f>
        <v>2435</v>
      </c>
      <c r="M45" s="351">
        <f>D45*L45</f>
        <v>24350</v>
      </c>
      <c r="N45" s="258"/>
      <c r="O45" s="258"/>
    </row>
    <row r="46" spans="1:15" ht="14.15" customHeight="1" x14ac:dyDescent="0.3">
      <c r="A46" s="341"/>
      <c r="B46" s="387"/>
      <c r="C46" s="88"/>
      <c r="D46" s="1"/>
      <c r="E46" s="36"/>
      <c r="F46" s="41"/>
      <c r="G46" s="348"/>
      <c r="H46" s="348"/>
      <c r="I46" s="79"/>
      <c r="J46" s="79"/>
      <c r="K46" s="349"/>
      <c r="L46" s="350"/>
      <c r="M46" s="351"/>
      <c r="N46" s="258"/>
      <c r="O46" s="258"/>
    </row>
    <row r="47" spans="1:15" ht="14.5" customHeight="1" thickBot="1" x14ac:dyDescent="0.35">
      <c r="A47" s="381" t="s">
        <v>126</v>
      </c>
      <c r="B47" s="388" t="s">
        <v>127</v>
      </c>
      <c r="C47" s="85" t="s">
        <v>85</v>
      </c>
      <c r="D47" s="50">
        <v>0</v>
      </c>
      <c r="E47" s="51">
        <f>550*1.2</f>
        <v>660</v>
      </c>
      <c r="F47" s="52">
        <v>0.2</v>
      </c>
      <c r="G47" s="376">
        <f>E47/(1-F47)</f>
        <v>825</v>
      </c>
      <c r="H47" s="376">
        <f>(250+100)*4</f>
        <v>1400</v>
      </c>
      <c r="I47" s="83">
        <v>0.15</v>
      </c>
      <c r="J47" s="79">
        <f>H47*(1+I47)</f>
        <v>1609.9999999999998</v>
      </c>
      <c r="K47" s="349">
        <f>J47*D47</f>
        <v>0</v>
      </c>
      <c r="L47" s="350">
        <f>G47+J47</f>
        <v>2435</v>
      </c>
      <c r="M47" s="378">
        <f>D47*L47</f>
        <v>0</v>
      </c>
      <c r="N47" s="258"/>
      <c r="O47" s="258"/>
    </row>
    <row r="48" spans="1:15" ht="14.5" customHeight="1" thickBot="1" x14ac:dyDescent="0.35">
      <c r="A48" s="354"/>
      <c r="B48" s="441"/>
      <c r="C48" s="89"/>
      <c r="D48" s="72"/>
      <c r="E48" s="73"/>
      <c r="F48" s="74"/>
      <c r="G48" s="356"/>
      <c r="H48" s="356"/>
      <c r="I48" s="73"/>
      <c r="J48" s="73"/>
      <c r="K48" s="357"/>
      <c r="L48" s="358"/>
      <c r="M48" s="358"/>
      <c r="N48" s="258"/>
      <c r="O48" s="258"/>
    </row>
    <row r="49" spans="1:15" ht="16.5" customHeight="1" x14ac:dyDescent="0.3">
      <c r="A49" s="359">
        <v>2.9</v>
      </c>
      <c r="B49" s="367"/>
      <c r="C49" s="55"/>
      <c r="D49" s="58" t="s">
        <v>128</v>
      </c>
      <c r="E49" s="56"/>
      <c r="F49" s="57"/>
      <c r="G49" s="361"/>
      <c r="H49" s="361"/>
      <c r="I49" s="56"/>
      <c r="J49" s="56"/>
      <c r="K49" s="362"/>
      <c r="L49" s="363"/>
      <c r="M49" s="363"/>
      <c r="N49" s="258"/>
      <c r="O49" s="258"/>
    </row>
    <row r="50" spans="1:15" ht="16.5" customHeight="1" x14ac:dyDescent="0.3">
      <c r="A50" s="341"/>
      <c r="B50" s="342"/>
      <c r="C50" s="248"/>
      <c r="D50" s="1"/>
      <c r="E50" s="36"/>
      <c r="F50" s="41"/>
      <c r="G50" s="348"/>
      <c r="H50" s="348"/>
      <c r="I50" s="79"/>
      <c r="J50" s="79"/>
      <c r="K50" s="349"/>
      <c r="L50" s="350"/>
      <c r="M50" s="351"/>
      <c r="N50" s="258"/>
      <c r="O50" s="258"/>
    </row>
    <row r="51" spans="1:15" ht="14.15" customHeight="1" x14ac:dyDescent="0.3">
      <c r="A51" s="341" t="s">
        <v>129</v>
      </c>
      <c r="B51" s="385" t="s">
        <v>130</v>
      </c>
      <c r="C51" s="248" t="s">
        <v>85</v>
      </c>
      <c r="D51" s="1">
        <v>10</v>
      </c>
      <c r="E51" s="36">
        <v>2500</v>
      </c>
      <c r="F51" s="41">
        <v>0.2</v>
      </c>
      <c r="G51" s="348">
        <f>E51/(1-F51)</f>
        <v>3125</v>
      </c>
      <c r="H51" s="348">
        <f>250*1</f>
        <v>250</v>
      </c>
      <c r="I51" s="83">
        <v>0.15</v>
      </c>
      <c r="J51" s="79">
        <f>H51*(1+I51)</f>
        <v>287.5</v>
      </c>
      <c r="K51" s="349">
        <f>J51*D51</f>
        <v>2875</v>
      </c>
      <c r="L51" s="350">
        <f>G51+J51</f>
        <v>3412.5</v>
      </c>
      <c r="M51" s="351">
        <f>D51*L51</f>
        <v>34125</v>
      </c>
      <c r="N51" s="258"/>
      <c r="O51" s="258"/>
    </row>
    <row r="52" spans="1:15" ht="14.15" customHeight="1" x14ac:dyDescent="0.3">
      <c r="A52" s="341"/>
      <c r="B52" s="385"/>
      <c r="C52" s="248"/>
      <c r="D52" s="1"/>
      <c r="E52" s="36"/>
      <c r="F52" s="41"/>
      <c r="G52" s="348"/>
      <c r="H52" s="348"/>
      <c r="I52" s="79"/>
      <c r="J52" s="79"/>
      <c r="K52" s="349"/>
      <c r="L52" s="350"/>
      <c r="M52" s="351"/>
      <c r="N52" s="258"/>
      <c r="O52" s="258"/>
    </row>
    <row r="53" spans="1:15" ht="14.15" customHeight="1" x14ac:dyDescent="0.3">
      <c r="A53" s="341" t="s">
        <v>131</v>
      </c>
      <c r="B53" s="385" t="s">
        <v>132</v>
      </c>
      <c r="C53" s="248" t="s">
        <v>85</v>
      </c>
      <c r="D53" s="1">
        <v>16</v>
      </c>
      <c r="E53" s="36">
        <v>5729</v>
      </c>
      <c r="F53" s="41">
        <v>0.2</v>
      </c>
      <c r="G53" s="348">
        <f>E53/(1-F53)</f>
        <v>7161.25</v>
      </c>
      <c r="H53" s="348">
        <v>250</v>
      </c>
      <c r="I53" s="83">
        <v>0.15</v>
      </c>
      <c r="J53" s="79">
        <f>H53*(1+I53)</f>
        <v>287.5</v>
      </c>
      <c r="K53" s="349">
        <f>J53*D53</f>
        <v>4600</v>
      </c>
      <c r="L53" s="350">
        <f>G53+J53</f>
        <v>7448.75</v>
      </c>
      <c r="M53" s="351">
        <f>D53*L53</f>
        <v>119180</v>
      </c>
      <c r="N53" s="258"/>
      <c r="O53" s="258"/>
    </row>
    <row r="54" spans="1:15" ht="14.15" customHeight="1" x14ac:dyDescent="0.3">
      <c r="A54" s="341"/>
      <c r="B54" s="387"/>
      <c r="C54" s="88"/>
      <c r="D54" s="1"/>
      <c r="E54" s="36"/>
      <c r="F54" s="41"/>
      <c r="G54" s="348"/>
      <c r="H54" s="348"/>
      <c r="I54" s="79"/>
      <c r="J54" s="79"/>
      <c r="K54" s="349"/>
      <c r="L54" s="350"/>
      <c r="M54" s="351"/>
      <c r="N54" s="258"/>
      <c r="O54" s="258"/>
    </row>
    <row r="55" spans="1:15" ht="14.15" customHeight="1" x14ac:dyDescent="0.3">
      <c r="A55" s="341" t="s">
        <v>133</v>
      </c>
      <c r="B55" s="387" t="s">
        <v>134</v>
      </c>
      <c r="C55" s="248" t="s">
        <v>85</v>
      </c>
      <c r="D55" s="1">
        <v>26</v>
      </c>
      <c r="E55" s="36">
        <f>5729</f>
        <v>5729</v>
      </c>
      <c r="F55" s="41">
        <v>0.2</v>
      </c>
      <c r="G55" s="348">
        <f>E55/(1-F55)</f>
        <v>7161.25</v>
      </c>
      <c r="H55" s="348">
        <v>250</v>
      </c>
      <c r="I55" s="83">
        <v>0.15</v>
      </c>
      <c r="J55" s="79">
        <f>H55*(1+I55)</f>
        <v>287.5</v>
      </c>
      <c r="K55" s="349">
        <f>J55*D55</f>
        <v>7475</v>
      </c>
      <c r="L55" s="350">
        <f>G55+J55</f>
        <v>7448.75</v>
      </c>
      <c r="M55" s="351">
        <f>D55*L55</f>
        <v>193667.5</v>
      </c>
      <c r="N55" s="258"/>
      <c r="O55" s="258"/>
    </row>
    <row r="56" spans="1:15" ht="14.15" customHeight="1" x14ac:dyDescent="0.3">
      <c r="A56" s="341"/>
      <c r="B56" s="387"/>
      <c r="C56" s="248"/>
      <c r="D56" s="1"/>
      <c r="E56" s="36"/>
      <c r="F56" s="41"/>
      <c r="G56" s="348"/>
      <c r="H56" s="348"/>
      <c r="I56" s="83"/>
      <c r="J56" s="79"/>
      <c r="K56" s="349"/>
      <c r="L56" s="350"/>
      <c r="M56" s="351"/>
      <c r="N56" s="258"/>
      <c r="O56" s="258"/>
    </row>
    <row r="57" spans="1:15" ht="14.15" customHeight="1" x14ac:dyDescent="0.3">
      <c r="A57" s="341"/>
      <c r="B57" s="385" t="s">
        <v>425</v>
      </c>
      <c r="C57" s="248" t="s">
        <v>85</v>
      </c>
      <c r="D57" s="1">
        <v>3</v>
      </c>
      <c r="E57" s="36">
        <f>40000*1.2</f>
        <v>48000</v>
      </c>
      <c r="F57" s="41">
        <v>0.2</v>
      </c>
      <c r="G57" s="348">
        <f>E57/(1-F57)</f>
        <v>60000</v>
      </c>
      <c r="H57" s="348">
        <v>250</v>
      </c>
      <c r="I57" s="83">
        <v>0.15</v>
      </c>
      <c r="J57" s="79">
        <f>H57*(1+I57)</f>
        <v>287.5</v>
      </c>
      <c r="K57" s="349">
        <f>J57*D57</f>
        <v>862.5</v>
      </c>
      <c r="L57" s="350">
        <f>G57+J57</f>
        <v>60287.5</v>
      </c>
      <c r="M57" s="351">
        <f>D57*L57</f>
        <v>180862.5</v>
      </c>
      <c r="N57" s="258"/>
      <c r="O57" s="258"/>
    </row>
    <row r="58" spans="1:15" ht="14.15" customHeight="1" x14ac:dyDescent="0.3">
      <c r="A58" s="341"/>
      <c r="B58" s="387"/>
      <c r="C58" s="87"/>
      <c r="D58" s="1"/>
      <c r="E58" s="36"/>
      <c r="F58" s="41"/>
      <c r="G58" s="348"/>
      <c r="H58" s="348"/>
      <c r="I58" s="79"/>
      <c r="J58" s="79"/>
      <c r="K58" s="349"/>
      <c r="L58" s="350"/>
      <c r="M58" s="351"/>
      <c r="N58" s="258"/>
      <c r="O58" s="258"/>
    </row>
    <row r="59" spans="1:15" ht="14.15" customHeight="1" x14ac:dyDescent="0.3">
      <c r="A59" s="341"/>
      <c r="B59" s="385" t="s">
        <v>426</v>
      </c>
      <c r="C59" s="87" t="s">
        <v>427</v>
      </c>
      <c r="D59" s="1">
        <v>1</v>
      </c>
      <c r="E59" s="36">
        <v>50000</v>
      </c>
      <c r="F59" s="41">
        <v>0.2</v>
      </c>
      <c r="G59" s="348">
        <f>E59/(1-F59)</f>
        <v>62500</v>
      </c>
      <c r="H59" s="348">
        <v>250</v>
      </c>
      <c r="I59" s="83">
        <v>0.15</v>
      </c>
      <c r="J59" s="79">
        <f>H59*(1+I59)</f>
        <v>287.5</v>
      </c>
      <c r="K59" s="349">
        <f>J59*D59</f>
        <v>287.5</v>
      </c>
      <c r="L59" s="350">
        <f>G59+J59</f>
        <v>62787.5</v>
      </c>
      <c r="M59" s="351">
        <f>D59*L59</f>
        <v>62787.5</v>
      </c>
      <c r="N59" s="258"/>
      <c r="O59" s="258"/>
    </row>
    <row r="60" spans="1:15" ht="14.15" customHeight="1" x14ac:dyDescent="0.3">
      <c r="A60" s="341"/>
      <c r="B60" s="387"/>
      <c r="C60" s="87"/>
      <c r="D60" s="1"/>
      <c r="E60" s="36"/>
      <c r="F60" s="41"/>
      <c r="G60" s="348"/>
      <c r="H60" s="348"/>
      <c r="I60" s="79"/>
      <c r="J60" s="79"/>
      <c r="K60" s="349"/>
      <c r="L60" s="350"/>
      <c r="M60" s="351"/>
      <c r="N60" s="258"/>
      <c r="O60" s="258"/>
    </row>
    <row r="61" spans="1:15" ht="28" customHeight="1" x14ac:dyDescent="0.3">
      <c r="A61" s="341" t="s">
        <v>135</v>
      </c>
      <c r="B61" s="385" t="s">
        <v>136</v>
      </c>
      <c r="C61" s="248" t="s">
        <v>85</v>
      </c>
      <c r="D61" s="1">
        <v>3</v>
      </c>
      <c r="E61" s="36">
        <v>350</v>
      </c>
      <c r="F61" s="41">
        <v>0.2</v>
      </c>
      <c r="G61" s="348">
        <f>E61/(1-F61)</f>
        <v>437.5</v>
      </c>
      <c r="H61" s="348">
        <v>250</v>
      </c>
      <c r="I61" s="83">
        <v>0.15</v>
      </c>
      <c r="J61" s="79">
        <f>H61*(1+I61)</f>
        <v>287.5</v>
      </c>
      <c r="K61" s="349">
        <f>J61*D61</f>
        <v>862.5</v>
      </c>
      <c r="L61" s="350">
        <f>G61+J61</f>
        <v>725</v>
      </c>
      <c r="M61" s="351">
        <f>D61*L61</f>
        <v>2175</v>
      </c>
      <c r="N61" s="258"/>
      <c r="O61" s="258"/>
    </row>
    <row r="62" spans="1:15" ht="14.15" customHeight="1" x14ac:dyDescent="0.3">
      <c r="A62" s="341"/>
      <c r="B62" s="387"/>
      <c r="C62" s="88"/>
      <c r="D62" s="1"/>
      <c r="E62" s="36"/>
      <c r="F62" s="41"/>
      <c r="G62" s="348"/>
      <c r="H62" s="348"/>
      <c r="I62" s="79"/>
      <c r="J62" s="79"/>
      <c r="K62" s="349"/>
      <c r="L62" s="350"/>
      <c r="M62" s="351"/>
      <c r="N62" s="258"/>
      <c r="O62" s="258"/>
    </row>
    <row r="63" spans="1:15" ht="14.15" customHeight="1" x14ac:dyDescent="0.3">
      <c r="A63" s="341" t="s">
        <v>137</v>
      </c>
      <c r="B63" s="385" t="s">
        <v>138</v>
      </c>
      <c r="C63" s="248" t="s">
        <v>108</v>
      </c>
      <c r="D63" s="1">
        <v>20</v>
      </c>
      <c r="E63" s="36">
        <f>35</f>
        <v>35</v>
      </c>
      <c r="F63" s="41">
        <v>0.2</v>
      </c>
      <c r="G63" s="348">
        <f>E63/(1-F63)</f>
        <v>43.75</v>
      </c>
      <c r="H63" s="348">
        <f>(65*3)</f>
        <v>195</v>
      </c>
      <c r="I63" s="83">
        <v>0.15</v>
      </c>
      <c r="J63" s="79">
        <f>H63*(1+I63)</f>
        <v>224.24999999999997</v>
      </c>
      <c r="K63" s="349">
        <f>J63*D63</f>
        <v>4484.9999999999991</v>
      </c>
      <c r="L63" s="350">
        <f>G63+J63</f>
        <v>268</v>
      </c>
      <c r="M63" s="351">
        <f>D63*L63</f>
        <v>5360</v>
      </c>
      <c r="N63" s="258"/>
      <c r="O63" s="258"/>
    </row>
    <row r="64" spans="1:15" ht="14.15" customHeight="1" x14ac:dyDescent="0.3">
      <c r="A64" s="341"/>
      <c r="B64" s="387"/>
      <c r="C64" s="87"/>
      <c r="D64" s="1"/>
      <c r="E64" s="36"/>
      <c r="F64" s="41"/>
      <c r="G64" s="348"/>
      <c r="H64" s="348"/>
      <c r="I64" s="79"/>
      <c r="J64" s="79"/>
      <c r="K64" s="349"/>
      <c r="L64" s="350"/>
      <c r="M64" s="351"/>
      <c r="N64" s="258"/>
      <c r="O64" s="258"/>
    </row>
    <row r="65" spans="1:15" ht="14.5" customHeight="1" thickBot="1" x14ac:dyDescent="0.35">
      <c r="A65" s="341" t="s">
        <v>139</v>
      </c>
      <c r="B65" s="385" t="s">
        <v>140</v>
      </c>
      <c r="C65" s="248" t="s">
        <v>42</v>
      </c>
      <c r="D65" s="1">
        <v>1</v>
      </c>
      <c r="E65" s="36">
        <v>1</v>
      </c>
      <c r="F65" s="41">
        <v>0.2</v>
      </c>
      <c r="G65" s="348">
        <f>E65/(1-F65)</f>
        <v>1.25</v>
      </c>
      <c r="H65" s="348">
        <f>2500*3</f>
        <v>7500</v>
      </c>
      <c r="I65" s="83">
        <v>0.15</v>
      </c>
      <c r="J65" s="79">
        <f>H65*(1+I65)</f>
        <v>8625</v>
      </c>
      <c r="K65" s="349">
        <f>J65*D65</f>
        <v>8625</v>
      </c>
      <c r="L65" s="350">
        <f>G65+J65</f>
        <v>8626.25</v>
      </c>
      <c r="M65" s="351">
        <f>D65*L65</f>
        <v>8626.25</v>
      </c>
      <c r="N65" s="258"/>
      <c r="O65" s="258"/>
    </row>
    <row r="66" spans="1:15" ht="14.5" customHeight="1" thickBot="1" x14ac:dyDescent="0.35">
      <c r="A66" s="354"/>
      <c r="B66" s="441"/>
      <c r="C66" s="89"/>
      <c r="D66" s="72"/>
      <c r="E66" s="73"/>
      <c r="F66" s="74"/>
      <c r="G66" s="356"/>
      <c r="H66" s="356"/>
      <c r="I66" s="73"/>
      <c r="J66" s="73"/>
      <c r="K66" s="357"/>
      <c r="L66" s="358"/>
      <c r="M66" s="358"/>
      <c r="N66" s="258"/>
      <c r="O66" s="258"/>
    </row>
    <row r="67" spans="1:15" ht="14.15" customHeight="1" x14ac:dyDescent="0.3">
      <c r="A67" s="389">
        <v>2.1</v>
      </c>
      <c r="B67" s="390"/>
      <c r="C67" s="90"/>
      <c r="D67" s="65" t="s">
        <v>141</v>
      </c>
      <c r="E67" s="53"/>
      <c r="F67" s="54"/>
      <c r="G67" s="391"/>
      <c r="H67" s="391"/>
      <c r="I67" s="53"/>
      <c r="J67" s="53"/>
      <c r="K67" s="392"/>
      <c r="L67" s="393"/>
      <c r="M67" s="393"/>
      <c r="N67" s="258"/>
      <c r="O67" s="258"/>
    </row>
    <row r="68" spans="1:15" ht="28" customHeight="1" x14ac:dyDescent="0.3">
      <c r="A68" s="370" t="s">
        <v>142</v>
      </c>
      <c r="B68" s="444" t="s">
        <v>143</v>
      </c>
      <c r="C68" s="7" t="s">
        <v>85</v>
      </c>
      <c r="D68" s="7">
        <v>3</v>
      </c>
      <c r="E68" s="37">
        <v>10000</v>
      </c>
      <c r="F68" s="41">
        <v>0.16</v>
      </c>
      <c r="G68" s="348">
        <f>E68/(1-F68)</f>
        <v>11904.761904761905</v>
      </c>
      <c r="H68" s="371">
        <v>200</v>
      </c>
      <c r="I68" s="83">
        <v>0.15</v>
      </c>
      <c r="J68" s="79">
        <f>H68*(1+I68)</f>
        <v>229.99999999999997</v>
      </c>
      <c r="K68" s="349">
        <f>J68*D68</f>
        <v>689.99999999999989</v>
      </c>
      <c r="L68" s="350">
        <f>G68+J68</f>
        <v>12134.761904761905</v>
      </c>
      <c r="M68" s="351">
        <f>D68*L68</f>
        <v>36404.28571428571</v>
      </c>
      <c r="N68" s="258"/>
      <c r="O68" s="258"/>
    </row>
    <row r="69" spans="1:15" ht="14.15" customHeight="1" x14ac:dyDescent="0.3">
      <c r="A69" s="394"/>
      <c r="B69" s="395"/>
      <c r="C69" s="248"/>
      <c r="D69" s="248"/>
      <c r="E69" s="36"/>
      <c r="F69" s="41"/>
      <c r="G69" s="348"/>
      <c r="H69" s="348"/>
      <c r="I69" s="79"/>
      <c r="J69" s="79"/>
      <c r="K69" s="349"/>
      <c r="L69" s="350"/>
      <c r="M69" s="351"/>
      <c r="N69" s="258"/>
      <c r="O69" s="258"/>
    </row>
    <row r="70" spans="1:15" ht="28.5" customHeight="1" thickBot="1" x14ac:dyDescent="0.35">
      <c r="A70" s="396" t="s">
        <v>144</v>
      </c>
      <c r="B70" s="446" t="s">
        <v>145</v>
      </c>
      <c r="C70" s="68" t="s">
        <v>85</v>
      </c>
      <c r="D70" s="68">
        <v>3</v>
      </c>
      <c r="E70" s="69">
        <v>7500</v>
      </c>
      <c r="F70" s="52">
        <v>0.16</v>
      </c>
      <c r="G70" s="376">
        <f>E70/(1-F70)</f>
        <v>8928.5714285714294</v>
      </c>
      <c r="H70" s="377">
        <v>200</v>
      </c>
      <c r="I70" s="83">
        <v>0.15</v>
      </c>
      <c r="J70" s="79">
        <f>H70*(1+I70)</f>
        <v>229.99999999999997</v>
      </c>
      <c r="K70" s="382">
        <f>J70*D70</f>
        <v>689.99999999999989</v>
      </c>
      <c r="L70" s="350">
        <f>G70+J70</f>
        <v>9158.5714285714294</v>
      </c>
      <c r="M70" s="378">
        <f>D70*L70</f>
        <v>27475.71428571429</v>
      </c>
      <c r="N70" s="258"/>
      <c r="O70" s="258"/>
    </row>
    <row r="71" spans="1:15" ht="14.5" customHeight="1" thickBot="1" x14ac:dyDescent="0.35">
      <c r="A71" s="397"/>
      <c r="B71" s="449"/>
      <c r="C71" s="89"/>
      <c r="D71" s="72"/>
      <c r="E71" s="73"/>
      <c r="F71" s="74"/>
      <c r="G71" s="356"/>
      <c r="H71" s="356"/>
      <c r="I71" s="73"/>
      <c r="J71" s="73"/>
      <c r="K71" s="357"/>
      <c r="L71" s="358"/>
      <c r="M71" s="358"/>
      <c r="N71" s="258"/>
      <c r="O71" s="258"/>
    </row>
    <row r="72" spans="1:15" ht="14.15" customHeight="1" x14ac:dyDescent="0.3">
      <c r="A72" s="359">
        <v>2.11</v>
      </c>
      <c r="B72" s="450"/>
      <c r="C72" s="91"/>
      <c r="D72" s="58" t="s">
        <v>146</v>
      </c>
      <c r="E72" s="56"/>
      <c r="F72" s="57"/>
      <c r="G72" s="361"/>
      <c r="H72" s="361"/>
      <c r="I72" s="56"/>
      <c r="J72" s="56"/>
      <c r="K72" s="362"/>
      <c r="L72" s="363"/>
      <c r="M72" s="363"/>
      <c r="N72" s="258"/>
      <c r="O72" s="258"/>
    </row>
    <row r="73" spans="1:15" ht="14.15" customHeight="1" x14ac:dyDescent="0.3">
      <c r="A73" s="341"/>
      <c r="B73" s="444"/>
      <c r="C73" s="92"/>
      <c r="D73" s="1"/>
      <c r="E73" s="36"/>
      <c r="F73" s="41"/>
      <c r="G73" s="348"/>
      <c r="H73" s="348"/>
      <c r="I73" s="79"/>
      <c r="J73" s="79"/>
      <c r="K73" s="349"/>
      <c r="L73" s="350"/>
      <c r="M73" s="351"/>
      <c r="N73" s="258"/>
      <c r="O73" s="258"/>
    </row>
    <row r="74" spans="1:15" ht="14.15" customHeight="1" x14ac:dyDescent="0.3">
      <c r="A74" s="341"/>
      <c r="B74" s="443" t="s">
        <v>147</v>
      </c>
      <c r="C74" s="88"/>
      <c r="D74" s="1"/>
      <c r="E74" s="36"/>
      <c r="F74" s="41"/>
      <c r="G74" s="348"/>
      <c r="H74" s="348"/>
      <c r="I74" s="79"/>
      <c r="J74" s="79"/>
      <c r="K74" s="349"/>
      <c r="L74" s="350"/>
      <c r="M74" s="351"/>
      <c r="N74" s="258"/>
      <c r="O74" s="258"/>
    </row>
    <row r="75" spans="1:15" ht="14.15" customHeight="1" x14ac:dyDescent="0.3">
      <c r="A75" s="341"/>
      <c r="B75" s="448"/>
      <c r="C75" s="88"/>
      <c r="D75" s="1"/>
      <c r="E75" s="36"/>
      <c r="F75" s="41"/>
      <c r="G75" s="348"/>
      <c r="H75" s="348"/>
      <c r="I75" s="79"/>
      <c r="J75" s="79"/>
      <c r="K75" s="349"/>
      <c r="L75" s="350"/>
      <c r="M75" s="351"/>
      <c r="N75" s="258"/>
      <c r="O75" s="258"/>
    </row>
    <row r="76" spans="1:15" ht="42" customHeight="1" x14ac:dyDescent="0.3">
      <c r="A76" s="341"/>
      <c r="B76" s="448" t="s">
        <v>148</v>
      </c>
      <c r="C76" s="88"/>
      <c r="D76" s="248"/>
      <c r="E76" s="36"/>
      <c r="F76" s="41"/>
      <c r="G76" s="348"/>
      <c r="H76" s="348"/>
      <c r="I76" s="79"/>
      <c r="J76" s="79"/>
      <c r="K76" s="349"/>
      <c r="L76" s="350"/>
      <c r="M76" s="351"/>
      <c r="N76" s="258"/>
      <c r="O76" s="258"/>
    </row>
    <row r="77" spans="1:15" ht="14.15" customHeight="1" x14ac:dyDescent="0.3">
      <c r="A77" s="384"/>
      <c r="B77" s="443"/>
      <c r="C77" s="88"/>
      <c r="D77" s="1"/>
      <c r="E77" s="36"/>
      <c r="F77" s="41"/>
      <c r="G77" s="348"/>
      <c r="H77" s="400"/>
      <c r="I77" s="81"/>
      <c r="J77" s="81"/>
      <c r="K77" s="349"/>
      <c r="L77" s="350"/>
      <c r="M77" s="351"/>
      <c r="N77" s="258"/>
      <c r="O77" s="258"/>
    </row>
    <row r="78" spans="1:15" ht="14.15" customHeight="1" x14ac:dyDescent="0.3">
      <c r="A78" s="384"/>
      <c r="B78" s="443" t="s">
        <v>282</v>
      </c>
      <c r="C78" s="88" t="s">
        <v>108</v>
      </c>
      <c r="D78" s="1">
        <v>30</v>
      </c>
      <c r="E78" s="36">
        <v>1520</v>
      </c>
      <c r="F78" s="41">
        <v>0.25</v>
      </c>
      <c r="G78" s="348">
        <f t="shared" ref="G78:G84" si="0">E78/(1-F78)</f>
        <v>2026.6666666666667</v>
      </c>
      <c r="H78" s="348">
        <v>25</v>
      </c>
      <c r="I78" s="83">
        <v>0.15</v>
      </c>
      <c r="J78" s="79">
        <f t="shared" ref="J78:J84" si="1">H78*(1+I78)</f>
        <v>28.749999999999996</v>
      </c>
      <c r="K78" s="349">
        <f t="shared" ref="K78:K84" si="2">J78*D78</f>
        <v>862.49999999999989</v>
      </c>
      <c r="L78" s="350">
        <f t="shared" ref="L78:L84" si="3">G78+J78</f>
        <v>2055.4166666666665</v>
      </c>
      <c r="M78" s="351">
        <f t="shared" ref="M78:M84" si="4">D78*L78</f>
        <v>61662.499999999993</v>
      </c>
      <c r="N78" s="258"/>
      <c r="O78" s="258"/>
    </row>
    <row r="79" spans="1:15" ht="14.15" customHeight="1" x14ac:dyDescent="0.3">
      <c r="A79" s="341" t="s">
        <v>149</v>
      </c>
      <c r="B79" s="443" t="s">
        <v>150</v>
      </c>
      <c r="C79" s="88" t="s">
        <v>108</v>
      </c>
      <c r="D79" s="1">
        <v>0</v>
      </c>
      <c r="E79" s="36">
        <v>947.75</v>
      </c>
      <c r="F79" s="41">
        <v>0.25</v>
      </c>
      <c r="G79" s="348">
        <f t="shared" si="0"/>
        <v>1263.6666666666667</v>
      </c>
      <c r="H79" s="348">
        <v>25</v>
      </c>
      <c r="I79" s="83">
        <v>0.15</v>
      </c>
      <c r="J79" s="79">
        <f t="shared" si="1"/>
        <v>28.749999999999996</v>
      </c>
      <c r="K79" s="349">
        <f t="shared" si="2"/>
        <v>0</v>
      </c>
      <c r="L79" s="350">
        <f t="shared" si="3"/>
        <v>1292.4166666666667</v>
      </c>
      <c r="M79" s="351">
        <f t="shared" si="4"/>
        <v>0</v>
      </c>
      <c r="N79" s="258"/>
      <c r="O79" s="258"/>
    </row>
    <row r="80" spans="1:15" ht="14.15" customHeight="1" x14ac:dyDescent="0.3">
      <c r="A80" s="341" t="s">
        <v>151</v>
      </c>
      <c r="B80" s="443" t="s">
        <v>152</v>
      </c>
      <c r="C80" s="88" t="s">
        <v>108</v>
      </c>
      <c r="D80" s="1">
        <v>0</v>
      </c>
      <c r="E80" s="36">
        <v>686.12</v>
      </c>
      <c r="F80" s="41">
        <v>0.25</v>
      </c>
      <c r="G80" s="348">
        <f t="shared" si="0"/>
        <v>914.82666666666671</v>
      </c>
      <c r="H80" s="348">
        <v>25</v>
      </c>
      <c r="I80" s="83">
        <v>0.15</v>
      </c>
      <c r="J80" s="79">
        <f t="shared" si="1"/>
        <v>28.749999999999996</v>
      </c>
      <c r="K80" s="349">
        <f t="shared" si="2"/>
        <v>0</v>
      </c>
      <c r="L80" s="350">
        <f t="shared" si="3"/>
        <v>943.57666666666671</v>
      </c>
      <c r="M80" s="351">
        <f t="shared" si="4"/>
        <v>0</v>
      </c>
      <c r="N80" s="258"/>
      <c r="O80" s="258"/>
    </row>
    <row r="81" spans="1:15" ht="14.15" customHeight="1" x14ac:dyDescent="0.3">
      <c r="A81" s="341" t="s">
        <v>153</v>
      </c>
      <c r="B81" s="443" t="s">
        <v>154</v>
      </c>
      <c r="C81" s="88" t="s">
        <v>108</v>
      </c>
      <c r="D81" s="1">
        <v>30</v>
      </c>
      <c r="E81" s="36">
        <v>538.9</v>
      </c>
      <c r="F81" s="41">
        <v>0.25</v>
      </c>
      <c r="G81" s="348">
        <f t="shared" si="0"/>
        <v>718.5333333333333</v>
      </c>
      <c r="H81" s="348">
        <v>25</v>
      </c>
      <c r="I81" s="83">
        <v>0.15</v>
      </c>
      <c r="J81" s="79">
        <f t="shared" si="1"/>
        <v>28.749999999999996</v>
      </c>
      <c r="K81" s="349">
        <f t="shared" si="2"/>
        <v>862.49999999999989</v>
      </c>
      <c r="L81" s="350">
        <f t="shared" si="3"/>
        <v>747.2833333333333</v>
      </c>
      <c r="M81" s="351">
        <f t="shared" si="4"/>
        <v>22418.5</v>
      </c>
      <c r="N81" s="258"/>
      <c r="O81" s="258"/>
    </row>
    <row r="82" spans="1:15" ht="14.15" customHeight="1" x14ac:dyDescent="0.3">
      <c r="A82" s="341" t="s">
        <v>155</v>
      </c>
      <c r="B82" s="443" t="s">
        <v>156</v>
      </c>
      <c r="C82" s="87" t="s">
        <v>108</v>
      </c>
      <c r="D82" s="1">
        <v>0</v>
      </c>
      <c r="E82" s="36">
        <v>450</v>
      </c>
      <c r="F82" s="41">
        <v>0.25</v>
      </c>
      <c r="G82" s="348">
        <f t="shared" si="0"/>
        <v>600</v>
      </c>
      <c r="H82" s="348">
        <v>25</v>
      </c>
      <c r="I82" s="83">
        <v>0.15</v>
      </c>
      <c r="J82" s="79">
        <f t="shared" si="1"/>
        <v>28.749999999999996</v>
      </c>
      <c r="K82" s="349">
        <f t="shared" si="2"/>
        <v>0</v>
      </c>
      <c r="L82" s="350">
        <f t="shared" si="3"/>
        <v>628.75</v>
      </c>
      <c r="M82" s="351">
        <f t="shared" si="4"/>
        <v>0</v>
      </c>
      <c r="N82" s="258"/>
      <c r="O82" s="258"/>
    </row>
    <row r="83" spans="1:15" ht="14.15" customHeight="1" x14ac:dyDescent="0.3">
      <c r="A83" s="341" t="s">
        <v>157</v>
      </c>
      <c r="B83" s="443" t="s">
        <v>158</v>
      </c>
      <c r="C83" s="87" t="s">
        <v>108</v>
      </c>
      <c r="D83" s="1">
        <f>200 + N("sub Dbs are far apart and there are 7 that we know of")</f>
        <v>200</v>
      </c>
      <c r="E83" s="36">
        <v>380</v>
      </c>
      <c r="F83" s="41">
        <v>0.25</v>
      </c>
      <c r="G83" s="348">
        <f t="shared" si="0"/>
        <v>506.66666666666669</v>
      </c>
      <c r="H83" s="348">
        <v>25</v>
      </c>
      <c r="I83" s="83">
        <v>0.15</v>
      </c>
      <c r="J83" s="79">
        <f t="shared" si="1"/>
        <v>28.749999999999996</v>
      </c>
      <c r="K83" s="349">
        <f t="shared" si="2"/>
        <v>5749.9999999999991</v>
      </c>
      <c r="L83" s="350">
        <f t="shared" si="3"/>
        <v>535.41666666666663</v>
      </c>
      <c r="M83" s="351">
        <f t="shared" si="4"/>
        <v>107083.33333333333</v>
      </c>
      <c r="N83" s="258"/>
      <c r="O83" s="258"/>
    </row>
    <row r="84" spans="1:15" ht="14.5" customHeight="1" thickBot="1" x14ac:dyDescent="0.35">
      <c r="A84" s="381" t="s">
        <v>159</v>
      </c>
      <c r="B84" s="446" t="s">
        <v>160</v>
      </c>
      <c r="C84" s="86" t="s">
        <v>108</v>
      </c>
      <c r="D84" s="50">
        <v>0</v>
      </c>
      <c r="E84" s="51">
        <f>215</f>
        <v>215</v>
      </c>
      <c r="F84" s="52">
        <v>0.25</v>
      </c>
      <c r="G84" s="376">
        <f t="shared" si="0"/>
        <v>286.66666666666669</v>
      </c>
      <c r="H84" s="376">
        <v>25</v>
      </c>
      <c r="I84" s="83">
        <v>0.15</v>
      </c>
      <c r="J84" s="79">
        <f t="shared" si="1"/>
        <v>28.749999999999996</v>
      </c>
      <c r="K84" s="349">
        <f t="shared" si="2"/>
        <v>0</v>
      </c>
      <c r="L84" s="350">
        <f t="shared" si="3"/>
        <v>315.41666666666669</v>
      </c>
      <c r="M84" s="378">
        <f t="shared" si="4"/>
        <v>0</v>
      </c>
      <c r="N84" s="258"/>
      <c r="O84" s="258"/>
    </row>
    <row r="85" spans="1:15" ht="14.5" customHeight="1" thickBot="1" x14ac:dyDescent="0.35">
      <c r="A85" s="397"/>
      <c r="B85" s="449"/>
      <c r="C85" s="89"/>
      <c r="D85" s="72"/>
      <c r="E85" s="73"/>
      <c r="F85" s="74"/>
      <c r="G85" s="356"/>
      <c r="H85" s="356"/>
      <c r="I85" s="73"/>
      <c r="J85" s="73"/>
      <c r="K85" s="357"/>
      <c r="L85" s="358"/>
      <c r="M85" s="358"/>
      <c r="N85" s="258"/>
      <c r="O85" s="258"/>
    </row>
    <row r="86" spans="1:15" ht="14.15" customHeight="1" x14ac:dyDescent="0.3">
      <c r="A86" s="359">
        <v>2.12</v>
      </c>
      <c r="B86" s="450"/>
      <c r="C86" s="91"/>
      <c r="D86" s="58" t="s">
        <v>161</v>
      </c>
      <c r="E86" s="56"/>
      <c r="F86" s="57"/>
      <c r="G86" s="361"/>
      <c r="H86" s="361"/>
      <c r="I86" s="56"/>
      <c r="J86" s="56"/>
      <c r="K86" s="362"/>
      <c r="L86" s="363"/>
      <c r="M86" s="363"/>
      <c r="N86" s="258"/>
      <c r="O86" s="258"/>
    </row>
    <row r="87" spans="1:15" ht="14.15" customHeight="1" x14ac:dyDescent="0.3">
      <c r="A87" s="341"/>
      <c r="B87" s="444"/>
      <c r="C87" s="87"/>
      <c r="D87" s="1"/>
      <c r="E87" s="36"/>
      <c r="F87" s="41"/>
      <c r="G87" s="348"/>
      <c r="H87" s="348"/>
      <c r="I87" s="79"/>
      <c r="J87" s="79"/>
      <c r="K87" s="349"/>
      <c r="L87" s="350"/>
      <c r="M87" s="351"/>
      <c r="N87" s="258"/>
      <c r="O87" s="258"/>
    </row>
    <row r="88" spans="1:15" ht="14.15" customHeight="1" x14ac:dyDescent="0.3">
      <c r="A88" s="341" t="s">
        <v>162</v>
      </c>
      <c r="B88" s="443" t="s">
        <v>163</v>
      </c>
      <c r="C88" s="87" t="s">
        <v>108</v>
      </c>
      <c r="D88" s="1">
        <v>50</v>
      </c>
      <c r="E88" s="36">
        <v>109.45</v>
      </c>
      <c r="F88" s="41">
        <v>0.2</v>
      </c>
      <c r="G88" s="348">
        <f>E88/(1-F88)</f>
        <v>136.8125</v>
      </c>
      <c r="H88" s="348">
        <v>50</v>
      </c>
      <c r="I88" s="83">
        <v>0.15</v>
      </c>
      <c r="J88" s="79">
        <f>H88*(1+I88)</f>
        <v>57.499999999999993</v>
      </c>
      <c r="K88" s="349">
        <f>J88*D88</f>
        <v>2874.9999999999995</v>
      </c>
      <c r="L88" s="350">
        <f>G88+J88</f>
        <v>194.3125</v>
      </c>
      <c r="M88" s="351">
        <f>D88*L88</f>
        <v>9715.625</v>
      </c>
      <c r="N88" s="258"/>
      <c r="O88" s="258"/>
    </row>
    <row r="89" spans="1:15" ht="14.15" customHeight="1" x14ac:dyDescent="0.3">
      <c r="A89" s="341"/>
      <c r="B89" s="443" t="s">
        <v>164</v>
      </c>
      <c r="C89" s="87" t="s">
        <v>108</v>
      </c>
      <c r="D89" s="1">
        <v>50</v>
      </c>
      <c r="E89" s="36">
        <v>70.599999999999994</v>
      </c>
      <c r="F89" s="41">
        <v>0.2</v>
      </c>
      <c r="G89" s="348">
        <f>E89/(1-F89)</f>
        <v>88.249999999999986</v>
      </c>
      <c r="H89" s="348">
        <v>50</v>
      </c>
      <c r="I89" s="83">
        <v>0.15</v>
      </c>
      <c r="J89" s="79">
        <f>H89*(1+I89)</f>
        <v>57.499999999999993</v>
      </c>
      <c r="K89" s="349">
        <f>J89*D89</f>
        <v>2874.9999999999995</v>
      </c>
      <c r="L89" s="350">
        <f>G89+J89</f>
        <v>145.74999999999997</v>
      </c>
      <c r="M89" s="351">
        <f>D89*L89</f>
        <v>7287.4999999999982</v>
      </c>
      <c r="N89" s="258"/>
      <c r="O89" s="258"/>
    </row>
    <row r="90" spans="1:15" ht="14.5" customHeight="1" thickBot="1" x14ac:dyDescent="0.35">
      <c r="A90" s="381"/>
      <c r="B90" s="446" t="s">
        <v>165</v>
      </c>
      <c r="C90" s="86" t="s">
        <v>108</v>
      </c>
      <c r="D90" s="50">
        <f>42 +N("7 DB's, 3 cables each, 2m per db")</f>
        <v>42</v>
      </c>
      <c r="E90" s="51">
        <v>22.91</v>
      </c>
      <c r="F90" s="52">
        <v>0.2</v>
      </c>
      <c r="G90" s="376">
        <f>E90/(1-F90)</f>
        <v>28.637499999999999</v>
      </c>
      <c r="H90" s="376">
        <v>50</v>
      </c>
      <c r="I90" s="83">
        <v>0.15</v>
      </c>
      <c r="J90" s="79">
        <f>H90*(1+I90)</f>
        <v>57.499999999999993</v>
      </c>
      <c r="K90" s="349">
        <f>J90*D90</f>
        <v>2414.9999999999995</v>
      </c>
      <c r="L90" s="350">
        <f>G90+J90</f>
        <v>86.137499999999989</v>
      </c>
      <c r="M90" s="378">
        <f>D90*L90</f>
        <v>3617.7749999999996</v>
      </c>
      <c r="N90" s="258"/>
      <c r="O90" s="258"/>
    </row>
    <row r="91" spans="1:15" ht="14.5" customHeight="1" thickBot="1" x14ac:dyDescent="0.35">
      <c r="A91" s="397"/>
      <c r="B91" s="449"/>
      <c r="C91" s="89"/>
      <c r="D91" s="72"/>
      <c r="E91" s="73"/>
      <c r="F91" s="74"/>
      <c r="G91" s="356"/>
      <c r="H91" s="356"/>
      <c r="I91" s="73"/>
      <c r="J91" s="73"/>
      <c r="K91" s="357"/>
      <c r="L91" s="358"/>
      <c r="M91" s="358"/>
      <c r="N91" s="258"/>
      <c r="O91" s="258"/>
    </row>
    <row r="92" spans="1:15" ht="14.15" customHeight="1" x14ac:dyDescent="0.3">
      <c r="A92" s="359">
        <v>2.13</v>
      </c>
      <c r="B92" s="450"/>
      <c r="C92" s="91"/>
      <c r="D92" s="58" t="s">
        <v>166</v>
      </c>
      <c r="E92" s="56"/>
      <c r="F92" s="57"/>
      <c r="G92" s="361"/>
      <c r="H92" s="361"/>
      <c r="I92" s="56"/>
      <c r="J92" s="56"/>
      <c r="K92" s="362"/>
      <c r="L92" s="363"/>
      <c r="M92" s="363"/>
      <c r="N92" s="258"/>
      <c r="O92" s="258"/>
    </row>
    <row r="93" spans="1:15" ht="14.15" customHeight="1" x14ac:dyDescent="0.3">
      <c r="A93" s="341"/>
      <c r="B93" s="444"/>
      <c r="C93" s="87"/>
      <c r="D93" s="1"/>
      <c r="E93" s="36"/>
      <c r="F93" s="41"/>
      <c r="G93" s="348"/>
      <c r="H93" s="348"/>
      <c r="I93" s="79"/>
      <c r="J93" s="79"/>
      <c r="K93" s="349"/>
      <c r="L93" s="350"/>
      <c r="M93" s="351"/>
      <c r="N93" s="258"/>
      <c r="O93" s="258"/>
    </row>
    <row r="94" spans="1:15" ht="14.15" customHeight="1" x14ac:dyDescent="0.3">
      <c r="A94" s="341" t="s">
        <v>167</v>
      </c>
      <c r="B94" s="443" t="s">
        <v>168</v>
      </c>
      <c r="C94" s="87" t="s">
        <v>108</v>
      </c>
      <c r="D94" s="1">
        <v>20</v>
      </c>
      <c r="E94" s="36">
        <v>25</v>
      </c>
      <c r="F94" s="41">
        <v>0.2</v>
      </c>
      <c r="G94" s="348">
        <f>E94/(1-F94)</f>
        <v>31.25</v>
      </c>
      <c r="H94" s="348"/>
      <c r="I94" s="83">
        <v>0.15</v>
      </c>
      <c r="J94" s="79">
        <f>H94*(1+I94)</f>
        <v>0</v>
      </c>
      <c r="K94" s="349">
        <f>J94*D94</f>
        <v>0</v>
      </c>
      <c r="L94" s="350">
        <f>G94+J94</f>
        <v>31.25</v>
      </c>
      <c r="M94" s="351">
        <f>D94*L94</f>
        <v>625</v>
      </c>
      <c r="N94" s="258"/>
      <c r="O94" s="258"/>
    </row>
    <row r="95" spans="1:15" ht="14.15" customHeight="1" x14ac:dyDescent="0.3">
      <c r="A95" s="341" t="s">
        <v>169</v>
      </c>
      <c r="B95" s="443" t="s">
        <v>170</v>
      </c>
      <c r="C95" s="87" t="s">
        <v>108</v>
      </c>
      <c r="D95" s="1">
        <v>20</v>
      </c>
      <c r="E95" s="36">
        <v>33</v>
      </c>
      <c r="F95" s="41">
        <v>0.2</v>
      </c>
      <c r="G95" s="348">
        <f>E95/(1-F95)</f>
        <v>41.25</v>
      </c>
      <c r="H95" s="348"/>
      <c r="I95" s="83">
        <v>0.15</v>
      </c>
      <c r="J95" s="79">
        <f>H95*(1+I95)</f>
        <v>0</v>
      </c>
      <c r="K95" s="349">
        <f>J95*D95</f>
        <v>0</v>
      </c>
      <c r="L95" s="350">
        <f>G95+J95</f>
        <v>41.25</v>
      </c>
      <c r="M95" s="351">
        <f>D95*L95</f>
        <v>825</v>
      </c>
      <c r="N95" s="258"/>
      <c r="O95" s="258"/>
    </row>
    <row r="96" spans="1:15" ht="14.5" customHeight="1" thickBot="1" x14ac:dyDescent="0.35">
      <c r="A96" s="341" t="s">
        <v>171</v>
      </c>
      <c r="B96" s="451" t="s">
        <v>172</v>
      </c>
      <c r="C96" s="29" t="s">
        <v>108</v>
      </c>
      <c r="D96" s="1">
        <v>0</v>
      </c>
      <c r="E96" s="36">
        <v>37</v>
      </c>
      <c r="F96" s="41">
        <v>0.2</v>
      </c>
      <c r="G96" s="348">
        <f>E96/(1-F96)</f>
        <v>46.25</v>
      </c>
      <c r="H96" s="348"/>
      <c r="I96" s="83">
        <v>0.15</v>
      </c>
      <c r="J96" s="79">
        <f>H96*(1+I96)</f>
        <v>0</v>
      </c>
      <c r="K96" s="349">
        <f>J96*D96</f>
        <v>0</v>
      </c>
      <c r="L96" s="350">
        <f>G96+J96</f>
        <v>46.25</v>
      </c>
      <c r="M96" s="351">
        <f>D96*L96</f>
        <v>0</v>
      </c>
      <c r="N96" s="258"/>
      <c r="O96" s="258"/>
    </row>
    <row r="97" spans="1:15" ht="14.5" customHeight="1" thickBot="1" x14ac:dyDescent="0.35">
      <c r="A97" s="397"/>
      <c r="B97" s="449"/>
      <c r="C97" s="71"/>
      <c r="D97" s="72"/>
      <c r="E97" s="73"/>
      <c r="F97" s="74"/>
      <c r="G97" s="356"/>
      <c r="H97" s="356"/>
      <c r="I97" s="73"/>
      <c r="J97" s="73"/>
      <c r="K97" s="357"/>
      <c r="L97" s="358"/>
      <c r="M97" s="358"/>
      <c r="N97" s="258"/>
      <c r="O97" s="258"/>
    </row>
    <row r="98" spans="1:15" s="297" customFormat="1" ht="14.15" customHeight="1" x14ac:dyDescent="0.3">
      <c r="A98" s="402">
        <v>2.14</v>
      </c>
      <c r="B98" s="452"/>
      <c r="C98" s="78"/>
      <c r="D98" s="65" t="s">
        <v>173</v>
      </c>
      <c r="E98" s="53"/>
      <c r="F98" s="54"/>
      <c r="G98" s="391"/>
      <c r="H98" s="391"/>
      <c r="I98" s="53"/>
      <c r="J98" s="53"/>
      <c r="K98" s="392"/>
      <c r="L98" s="393"/>
      <c r="M98" s="393"/>
      <c r="N98" s="258"/>
      <c r="O98" s="258"/>
    </row>
    <row r="99" spans="1:15" s="297" customFormat="1" ht="14.15" customHeight="1" x14ac:dyDescent="0.3">
      <c r="A99" s="341"/>
      <c r="B99" s="444"/>
      <c r="C99" s="29"/>
      <c r="D99" s="1"/>
      <c r="E99" s="36"/>
      <c r="F99" s="41"/>
      <c r="G99" s="348"/>
      <c r="H99" s="348"/>
      <c r="I99" s="79"/>
      <c r="J99" s="79"/>
      <c r="K99" s="349"/>
      <c r="L99" s="350"/>
      <c r="M99" s="351"/>
      <c r="N99" s="258"/>
      <c r="O99" s="258"/>
    </row>
    <row r="100" spans="1:15" s="297" customFormat="1" ht="28" customHeight="1" x14ac:dyDescent="0.3">
      <c r="A100" s="341"/>
      <c r="B100" s="443" t="s">
        <v>174</v>
      </c>
      <c r="C100" s="29"/>
      <c r="D100" s="1"/>
      <c r="E100" s="36"/>
      <c r="F100" s="41"/>
      <c r="G100" s="348"/>
      <c r="H100" s="348"/>
      <c r="I100" s="79"/>
      <c r="J100" s="79"/>
      <c r="K100" s="349"/>
      <c r="L100" s="350"/>
      <c r="M100" s="351"/>
      <c r="N100" s="258"/>
      <c r="O100" s="258"/>
    </row>
    <row r="101" spans="1:15" s="297" customFormat="1" ht="14.15" customHeight="1" x14ac:dyDescent="0.3">
      <c r="A101" s="384"/>
      <c r="B101" s="443"/>
      <c r="C101" s="29"/>
      <c r="D101" s="1"/>
      <c r="E101" s="36"/>
      <c r="F101" s="41"/>
      <c r="G101" s="348"/>
      <c r="H101" s="348"/>
      <c r="I101" s="79"/>
      <c r="J101" s="79"/>
      <c r="K101" s="349"/>
      <c r="L101" s="350"/>
      <c r="M101" s="351"/>
      <c r="N101" s="258"/>
      <c r="O101" s="258"/>
    </row>
    <row r="102" spans="1:15" s="297" customFormat="1" ht="14.15" customHeight="1" x14ac:dyDescent="0.3">
      <c r="A102" s="384"/>
      <c r="B102" s="443" t="s">
        <v>282</v>
      </c>
      <c r="C102" s="29" t="s">
        <v>85</v>
      </c>
      <c r="D102" s="1">
        <v>13</v>
      </c>
      <c r="E102" s="36">
        <f>1100*1.1</f>
        <v>1210</v>
      </c>
      <c r="F102" s="41">
        <v>0.2</v>
      </c>
      <c r="G102" s="348">
        <f t="shared" ref="G102:G114" si="5">E102/(1-F102)</f>
        <v>1512.5</v>
      </c>
      <c r="H102" s="348">
        <f>(250+100)*1.5</f>
        <v>525</v>
      </c>
      <c r="I102" s="83">
        <v>0.15</v>
      </c>
      <c r="J102" s="79">
        <f t="shared" ref="J102:J114" si="6">H102*(1+I102)</f>
        <v>603.75</v>
      </c>
      <c r="K102" s="349">
        <f t="shared" ref="K102:K114" si="7">J102*D102</f>
        <v>7848.75</v>
      </c>
      <c r="L102" s="350">
        <f t="shared" ref="L102:L114" si="8">G102+J102</f>
        <v>2116.25</v>
      </c>
      <c r="M102" s="351">
        <f t="shared" ref="M102:M114" si="9">D102*L102</f>
        <v>27511.25</v>
      </c>
      <c r="N102" s="258"/>
      <c r="O102" s="258"/>
    </row>
    <row r="103" spans="1:15" s="297" customFormat="1" ht="14.15" customHeight="1" x14ac:dyDescent="0.3">
      <c r="A103" s="341" t="s">
        <v>175</v>
      </c>
      <c r="B103" s="443" t="s">
        <v>150</v>
      </c>
      <c r="C103" s="29" t="s">
        <v>85</v>
      </c>
      <c r="D103" s="1">
        <v>0</v>
      </c>
      <c r="E103" s="36">
        <f>752.54*1.1</f>
        <v>827.79399999999998</v>
      </c>
      <c r="F103" s="41">
        <v>0.2</v>
      </c>
      <c r="G103" s="348">
        <f t="shared" si="5"/>
        <v>1034.7424999999998</v>
      </c>
      <c r="H103" s="348">
        <f>(250+100)*1.5</f>
        <v>525</v>
      </c>
      <c r="I103" s="83">
        <v>0.15</v>
      </c>
      <c r="J103" s="79">
        <f t="shared" si="6"/>
        <v>603.75</v>
      </c>
      <c r="K103" s="349">
        <f t="shared" si="7"/>
        <v>0</v>
      </c>
      <c r="L103" s="350">
        <f t="shared" si="8"/>
        <v>1638.4924999999998</v>
      </c>
      <c r="M103" s="351">
        <f t="shared" si="9"/>
        <v>0</v>
      </c>
      <c r="N103" s="258"/>
      <c r="O103" s="258"/>
    </row>
    <row r="104" spans="1:15" s="297" customFormat="1" ht="14.15" customHeight="1" x14ac:dyDescent="0.3">
      <c r="A104" s="341"/>
      <c r="B104" s="443" t="s">
        <v>428</v>
      </c>
      <c r="C104" s="29" t="s">
        <v>85</v>
      </c>
      <c r="D104" s="1">
        <v>10</v>
      </c>
      <c r="E104" s="36">
        <v>500</v>
      </c>
      <c r="F104" s="41">
        <v>0.2</v>
      </c>
      <c r="G104" s="348">
        <f t="shared" si="5"/>
        <v>625</v>
      </c>
      <c r="H104" s="348">
        <f>(250+100)*1.5</f>
        <v>525</v>
      </c>
      <c r="I104" s="83">
        <v>0.15</v>
      </c>
      <c r="J104" s="79">
        <f t="shared" si="6"/>
        <v>603.75</v>
      </c>
      <c r="K104" s="349">
        <f t="shared" si="7"/>
        <v>6037.5</v>
      </c>
      <c r="L104" s="350">
        <f t="shared" si="8"/>
        <v>1228.75</v>
      </c>
      <c r="M104" s="351">
        <f t="shared" si="9"/>
        <v>12287.5</v>
      </c>
      <c r="N104" s="258"/>
      <c r="O104" s="258"/>
    </row>
    <row r="105" spans="1:15" s="297" customFormat="1" ht="14.15" customHeight="1" x14ac:dyDescent="0.3">
      <c r="A105" s="341" t="s">
        <v>176</v>
      </c>
      <c r="B105" s="443" t="s">
        <v>177</v>
      </c>
      <c r="C105" s="29" t="s">
        <v>85</v>
      </c>
      <c r="D105" s="1">
        <v>0</v>
      </c>
      <c r="E105" s="36">
        <f>350*1.1</f>
        <v>385.00000000000006</v>
      </c>
      <c r="F105" s="41">
        <v>0.2</v>
      </c>
      <c r="G105" s="348">
        <f t="shared" si="5"/>
        <v>481.25000000000006</v>
      </c>
      <c r="H105" s="348">
        <f>(250+100)*1.5</f>
        <v>525</v>
      </c>
      <c r="I105" s="83">
        <v>0.15</v>
      </c>
      <c r="J105" s="79">
        <f t="shared" si="6"/>
        <v>603.75</v>
      </c>
      <c r="K105" s="349">
        <f t="shared" si="7"/>
        <v>0</v>
      </c>
      <c r="L105" s="350">
        <f t="shared" si="8"/>
        <v>1085</v>
      </c>
      <c r="M105" s="351">
        <f t="shared" si="9"/>
        <v>0</v>
      </c>
      <c r="N105" s="258"/>
      <c r="O105" s="258"/>
    </row>
    <row r="106" spans="1:15" s="297" customFormat="1" ht="14.15" customHeight="1" x14ac:dyDescent="0.3">
      <c r="A106" s="341" t="s">
        <v>178</v>
      </c>
      <c r="B106" s="443" t="s">
        <v>152</v>
      </c>
      <c r="C106" s="29" t="s">
        <v>85</v>
      </c>
      <c r="D106" s="1">
        <v>0</v>
      </c>
      <c r="E106" s="36">
        <v>550</v>
      </c>
      <c r="F106" s="41">
        <v>0.2</v>
      </c>
      <c r="G106" s="348">
        <f t="shared" si="5"/>
        <v>687.5</v>
      </c>
      <c r="H106" s="348">
        <f>(250+100)*1.5</f>
        <v>525</v>
      </c>
      <c r="I106" s="83">
        <v>0.15</v>
      </c>
      <c r="J106" s="79">
        <f t="shared" si="6"/>
        <v>603.75</v>
      </c>
      <c r="K106" s="349">
        <f t="shared" si="7"/>
        <v>0</v>
      </c>
      <c r="L106" s="350">
        <f t="shared" si="8"/>
        <v>1291.25</v>
      </c>
      <c r="M106" s="351">
        <f t="shared" si="9"/>
        <v>0</v>
      </c>
      <c r="N106" s="258"/>
      <c r="O106" s="258"/>
    </row>
    <row r="107" spans="1:15" s="297" customFormat="1" ht="14.15" customHeight="1" x14ac:dyDescent="0.3">
      <c r="A107" s="341" t="s">
        <v>179</v>
      </c>
      <c r="B107" s="443" t="s">
        <v>154</v>
      </c>
      <c r="C107" s="29" t="s">
        <v>85</v>
      </c>
      <c r="D107" s="1">
        <v>16</v>
      </c>
      <c r="E107" s="36">
        <v>350</v>
      </c>
      <c r="F107" s="41">
        <v>0.2</v>
      </c>
      <c r="G107" s="348">
        <f t="shared" si="5"/>
        <v>437.5</v>
      </c>
      <c r="H107" s="348">
        <v>525</v>
      </c>
      <c r="I107" s="83">
        <v>0.15</v>
      </c>
      <c r="J107" s="79">
        <f t="shared" si="6"/>
        <v>603.75</v>
      </c>
      <c r="K107" s="349">
        <f t="shared" si="7"/>
        <v>9660</v>
      </c>
      <c r="L107" s="350">
        <f t="shared" si="8"/>
        <v>1041.25</v>
      </c>
      <c r="M107" s="351">
        <f t="shared" si="9"/>
        <v>16660</v>
      </c>
      <c r="N107" s="258"/>
      <c r="O107" s="258"/>
    </row>
    <row r="108" spans="1:15" s="297" customFormat="1" ht="14.5" customHeight="1" x14ac:dyDescent="0.3">
      <c r="A108" s="341" t="s">
        <v>180</v>
      </c>
      <c r="B108" s="443" t="s">
        <v>156</v>
      </c>
      <c r="C108" s="29" t="s">
        <v>85</v>
      </c>
      <c r="D108" s="1">
        <v>0</v>
      </c>
      <c r="E108" s="36"/>
      <c r="F108" s="41"/>
      <c r="G108" s="348">
        <f t="shared" si="5"/>
        <v>0</v>
      </c>
      <c r="H108" s="348">
        <v>525</v>
      </c>
      <c r="I108" s="83">
        <v>0.15</v>
      </c>
      <c r="J108" s="79">
        <f t="shared" si="6"/>
        <v>603.75</v>
      </c>
      <c r="K108" s="349">
        <f t="shared" si="7"/>
        <v>0</v>
      </c>
      <c r="L108" s="350">
        <f t="shared" si="8"/>
        <v>603.75</v>
      </c>
      <c r="M108" s="351">
        <f t="shared" si="9"/>
        <v>0</v>
      </c>
      <c r="N108" s="258"/>
      <c r="O108" s="258"/>
    </row>
    <row r="109" spans="1:15" s="297" customFormat="1" ht="14.15" customHeight="1" x14ac:dyDescent="0.3">
      <c r="A109" s="341" t="s">
        <v>181</v>
      </c>
      <c r="B109" s="443" t="s">
        <v>158</v>
      </c>
      <c r="C109" s="29" t="s">
        <v>85</v>
      </c>
      <c r="D109" s="1">
        <v>10</v>
      </c>
      <c r="E109" s="36">
        <v>350</v>
      </c>
      <c r="F109" s="41">
        <v>0.2</v>
      </c>
      <c r="G109" s="348">
        <f t="shared" si="5"/>
        <v>437.5</v>
      </c>
      <c r="H109" s="348">
        <v>525</v>
      </c>
      <c r="I109" s="83">
        <v>0.15</v>
      </c>
      <c r="J109" s="79">
        <f t="shared" si="6"/>
        <v>603.75</v>
      </c>
      <c r="K109" s="349">
        <f t="shared" si="7"/>
        <v>6037.5</v>
      </c>
      <c r="L109" s="350">
        <f t="shared" si="8"/>
        <v>1041.25</v>
      </c>
      <c r="M109" s="351">
        <f t="shared" si="9"/>
        <v>10412.5</v>
      </c>
      <c r="N109" s="258"/>
      <c r="O109" s="258"/>
    </row>
    <row r="110" spans="1:15" s="297" customFormat="1" ht="14.15" customHeight="1" x14ac:dyDescent="0.3">
      <c r="A110" s="341" t="s">
        <v>182</v>
      </c>
      <c r="B110" s="443" t="s">
        <v>160</v>
      </c>
      <c r="C110" s="29" t="s">
        <v>85</v>
      </c>
      <c r="D110" s="1">
        <v>0</v>
      </c>
      <c r="E110" s="36">
        <v>350</v>
      </c>
      <c r="F110" s="41">
        <v>0.2</v>
      </c>
      <c r="G110" s="348">
        <f t="shared" si="5"/>
        <v>437.5</v>
      </c>
      <c r="H110" s="348">
        <v>525</v>
      </c>
      <c r="I110" s="83">
        <v>0.15</v>
      </c>
      <c r="J110" s="79">
        <f t="shared" si="6"/>
        <v>603.75</v>
      </c>
      <c r="K110" s="349">
        <f t="shared" si="7"/>
        <v>0</v>
      </c>
      <c r="L110" s="350">
        <f t="shared" si="8"/>
        <v>1041.25</v>
      </c>
      <c r="M110" s="351">
        <f t="shared" si="9"/>
        <v>0</v>
      </c>
      <c r="N110" s="258"/>
      <c r="O110" s="258"/>
    </row>
    <row r="111" spans="1:15" s="297" customFormat="1" ht="14.15" customHeight="1" x14ac:dyDescent="0.3">
      <c r="A111" s="341" t="s">
        <v>183</v>
      </c>
      <c r="B111" s="443" t="s">
        <v>184</v>
      </c>
      <c r="C111" s="29" t="s">
        <v>85</v>
      </c>
      <c r="D111" s="1">
        <v>0</v>
      </c>
      <c r="E111" s="36"/>
      <c r="F111" s="41"/>
      <c r="G111" s="348">
        <f t="shared" si="5"/>
        <v>0</v>
      </c>
      <c r="H111" s="348">
        <v>525</v>
      </c>
      <c r="I111" s="83">
        <v>0.15</v>
      </c>
      <c r="J111" s="79">
        <f t="shared" si="6"/>
        <v>603.75</v>
      </c>
      <c r="K111" s="349">
        <f t="shared" si="7"/>
        <v>0</v>
      </c>
      <c r="L111" s="350">
        <f t="shared" si="8"/>
        <v>603.75</v>
      </c>
      <c r="M111" s="351">
        <f t="shared" si="9"/>
        <v>0</v>
      </c>
      <c r="N111" s="258"/>
      <c r="O111" s="258"/>
    </row>
    <row r="112" spans="1:15" s="297" customFormat="1" ht="14.15" customHeight="1" x14ac:dyDescent="0.3">
      <c r="A112" s="341" t="s">
        <v>185</v>
      </c>
      <c r="B112" s="443" t="s">
        <v>186</v>
      </c>
      <c r="C112" s="29" t="s">
        <v>85</v>
      </c>
      <c r="D112" s="1">
        <v>0</v>
      </c>
      <c r="E112" s="36">
        <v>250</v>
      </c>
      <c r="F112" s="41">
        <v>0.2</v>
      </c>
      <c r="G112" s="348">
        <f t="shared" si="5"/>
        <v>312.5</v>
      </c>
      <c r="H112" s="348">
        <v>525</v>
      </c>
      <c r="I112" s="83">
        <v>0.15</v>
      </c>
      <c r="J112" s="79">
        <f t="shared" si="6"/>
        <v>603.75</v>
      </c>
      <c r="K112" s="349">
        <f t="shared" si="7"/>
        <v>0</v>
      </c>
      <c r="L112" s="350">
        <f t="shared" si="8"/>
        <v>916.25</v>
      </c>
      <c r="M112" s="351">
        <f t="shared" si="9"/>
        <v>0</v>
      </c>
      <c r="N112" s="258"/>
      <c r="O112" s="258"/>
    </row>
    <row r="113" spans="1:15" s="297" customFormat="1" ht="14.15" customHeight="1" x14ac:dyDescent="0.3">
      <c r="A113" s="341" t="s">
        <v>187</v>
      </c>
      <c r="B113" s="443" t="s">
        <v>188</v>
      </c>
      <c r="C113" s="29" t="s">
        <v>85</v>
      </c>
      <c r="D113" s="1">
        <v>0</v>
      </c>
      <c r="E113" s="36">
        <v>500</v>
      </c>
      <c r="F113" s="41">
        <v>0.2</v>
      </c>
      <c r="G113" s="348">
        <f t="shared" si="5"/>
        <v>625</v>
      </c>
      <c r="H113" s="348">
        <v>525</v>
      </c>
      <c r="I113" s="83">
        <v>0.15</v>
      </c>
      <c r="J113" s="79">
        <f t="shared" si="6"/>
        <v>603.75</v>
      </c>
      <c r="K113" s="349">
        <f t="shared" si="7"/>
        <v>0</v>
      </c>
      <c r="L113" s="350">
        <f t="shared" si="8"/>
        <v>1228.75</v>
      </c>
      <c r="M113" s="351">
        <f t="shared" si="9"/>
        <v>0</v>
      </c>
      <c r="N113" s="258"/>
      <c r="O113" s="258"/>
    </row>
    <row r="114" spans="1:15" s="297" customFormat="1" ht="14.5" customHeight="1" thickBot="1" x14ac:dyDescent="0.35">
      <c r="A114" s="381" t="s">
        <v>189</v>
      </c>
      <c r="B114" s="446" t="s">
        <v>190</v>
      </c>
      <c r="C114" s="76" t="s">
        <v>85</v>
      </c>
      <c r="D114" s="50">
        <v>0</v>
      </c>
      <c r="E114" s="51">
        <v>500</v>
      </c>
      <c r="F114" s="52">
        <v>0.2</v>
      </c>
      <c r="G114" s="376">
        <f t="shared" si="5"/>
        <v>625</v>
      </c>
      <c r="H114" s="376">
        <v>525</v>
      </c>
      <c r="I114" s="84">
        <v>0.15</v>
      </c>
      <c r="J114" s="80">
        <f t="shared" si="6"/>
        <v>603.75</v>
      </c>
      <c r="K114" s="382">
        <f t="shared" si="7"/>
        <v>0</v>
      </c>
      <c r="L114" s="350">
        <f t="shared" si="8"/>
        <v>1228.75</v>
      </c>
      <c r="M114" s="378">
        <f t="shared" si="9"/>
        <v>0</v>
      </c>
      <c r="N114" s="258"/>
      <c r="O114" s="258"/>
    </row>
    <row r="115" spans="1:15" s="297" customFormat="1" ht="14.5" customHeight="1" thickBot="1" x14ac:dyDescent="0.35">
      <c r="A115" s="404"/>
      <c r="B115" s="453"/>
      <c r="C115" s="29"/>
      <c r="D115" s="1"/>
      <c r="E115" s="36"/>
      <c r="F115" s="41"/>
      <c r="G115" s="348"/>
      <c r="H115" s="348"/>
      <c r="I115" s="79"/>
      <c r="J115" s="79"/>
      <c r="K115" s="406"/>
      <c r="L115" s="350"/>
      <c r="M115" s="351"/>
      <c r="N115" s="258"/>
      <c r="O115" s="258"/>
    </row>
    <row r="116" spans="1:15" ht="14.15" customHeight="1" x14ac:dyDescent="0.3">
      <c r="A116" s="359">
        <v>2.15</v>
      </c>
      <c r="B116" s="450"/>
      <c r="C116" s="75"/>
      <c r="D116" s="58" t="s">
        <v>191</v>
      </c>
      <c r="E116" s="56"/>
      <c r="F116" s="57"/>
      <c r="G116" s="361"/>
      <c r="H116" s="361"/>
      <c r="I116" s="56"/>
      <c r="J116" s="56"/>
      <c r="K116" s="362"/>
      <c r="L116" s="363"/>
      <c r="M116" s="363"/>
      <c r="N116" s="258"/>
      <c r="O116" s="258"/>
    </row>
    <row r="117" spans="1:15" ht="14.15" customHeight="1" x14ac:dyDescent="0.3">
      <c r="A117" s="341"/>
      <c r="B117" s="444"/>
      <c r="C117" s="29"/>
      <c r="D117" s="1"/>
      <c r="E117" s="36"/>
      <c r="F117" s="41"/>
      <c r="G117" s="348"/>
      <c r="H117" s="348"/>
      <c r="I117" s="79"/>
      <c r="J117" s="79"/>
      <c r="K117" s="349"/>
      <c r="L117" s="350"/>
      <c r="M117" s="351"/>
      <c r="N117" s="258"/>
      <c r="O117" s="258"/>
    </row>
    <row r="118" spans="1:15" ht="28" customHeight="1" x14ac:dyDescent="0.3">
      <c r="A118" s="341"/>
      <c r="B118" s="443" t="s">
        <v>192</v>
      </c>
      <c r="C118" s="29"/>
      <c r="D118" s="1"/>
      <c r="E118" s="36"/>
      <c r="F118" s="41"/>
      <c r="G118" s="348"/>
      <c r="H118" s="348"/>
      <c r="I118" s="79"/>
      <c r="J118" s="79"/>
      <c r="K118" s="349"/>
      <c r="L118" s="350"/>
      <c r="M118" s="351"/>
      <c r="N118" s="258"/>
      <c r="O118" s="258"/>
    </row>
    <row r="119" spans="1:15" ht="14.15" customHeight="1" x14ac:dyDescent="0.3">
      <c r="A119" s="384"/>
      <c r="B119" s="443"/>
      <c r="C119" s="29"/>
      <c r="D119" s="1"/>
      <c r="E119" s="36"/>
      <c r="F119" s="41"/>
      <c r="G119" s="348"/>
      <c r="H119" s="348"/>
      <c r="I119" s="79"/>
      <c r="J119" s="79"/>
      <c r="K119" s="349"/>
      <c r="L119" s="350"/>
      <c r="M119" s="351"/>
      <c r="N119" s="258"/>
      <c r="O119" s="258"/>
    </row>
    <row r="120" spans="1:15" ht="14.15" customHeight="1" x14ac:dyDescent="0.3">
      <c r="A120" s="341" t="s">
        <v>193</v>
      </c>
      <c r="B120" s="443" t="s">
        <v>194</v>
      </c>
      <c r="C120" s="29" t="s">
        <v>108</v>
      </c>
      <c r="D120" s="1">
        <v>0</v>
      </c>
      <c r="E120" s="36">
        <f>132*(15+10+10)</f>
        <v>4620</v>
      </c>
      <c r="F120" s="41">
        <v>0.2</v>
      </c>
      <c r="G120" s="348">
        <f>E120/(1-F120)</f>
        <v>5775</v>
      </c>
      <c r="H120" s="348">
        <f>9*(15+10+10)</f>
        <v>315</v>
      </c>
      <c r="I120" s="83">
        <v>0.15</v>
      </c>
      <c r="J120" s="79">
        <f>H120*(1+I120)</f>
        <v>362.25</v>
      </c>
      <c r="K120" s="349">
        <f>J120*D120</f>
        <v>0</v>
      </c>
      <c r="L120" s="350">
        <f>G120+J120</f>
        <v>6137.25</v>
      </c>
      <c r="M120" s="351">
        <f>D120*L120</f>
        <v>0</v>
      </c>
      <c r="N120" s="258"/>
      <c r="O120" s="258"/>
    </row>
    <row r="121" spans="1:15" ht="14.5" customHeight="1" thickBot="1" x14ac:dyDescent="0.35">
      <c r="A121" s="381" t="s">
        <v>195</v>
      </c>
      <c r="B121" s="446" t="s">
        <v>196</v>
      </c>
      <c r="C121" s="76" t="s">
        <v>108</v>
      </c>
      <c r="D121" s="50">
        <v>500</v>
      </c>
      <c r="E121" s="51">
        <f>30</f>
        <v>30</v>
      </c>
      <c r="F121" s="52">
        <v>0.2</v>
      </c>
      <c r="G121" s="376">
        <f>E121/(1-F121)</f>
        <v>37.5</v>
      </c>
      <c r="H121" s="376">
        <f>15</f>
        <v>15</v>
      </c>
      <c r="I121" s="84">
        <v>0.15</v>
      </c>
      <c r="J121" s="80">
        <f>H121*(1+I121)</f>
        <v>17.25</v>
      </c>
      <c r="K121" s="382">
        <f>J121*D121</f>
        <v>8625</v>
      </c>
      <c r="L121" s="407">
        <f>G121+J121</f>
        <v>54.75</v>
      </c>
      <c r="M121" s="378">
        <f>D121*L121</f>
        <v>27375</v>
      </c>
      <c r="N121" s="258"/>
      <c r="O121" s="258"/>
    </row>
    <row r="122" spans="1:15" ht="14.5" customHeight="1" thickBot="1" x14ac:dyDescent="0.35">
      <c r="A122" s="258"/>
      <c r="B122" s="453"/>
      <c r="C122" s="29"/>
      <c r="D122" s="1"/>
      <c r="E122" s="36"/>
      <c r="F122" s="41"/>
      <c r="G122" s="348"/>
      <c r="H122" s="348"/>
      <c r="I122" s="79"/>
      <c r="J122" s="79"/>
      <c r="K122" s="406"/>
      <c r="L122" s="350"/>
      <c r="M122" s="351"/>
      <c r="N122" s="258"/>
      <c r="O122" s="258"/>
    </row>
    <row r="123" spans="1:15" ht="14.15" customHeight="1" x14ac:dyDescent="0.3">
      <c r="A123" s="359">
        <v>2.16</v>
      </c>
      <c r="B123" s="450"/>
      <c r="C123" s="75"/>
      <c r="D123" s="58" t="s">
        <v>197</v>
      </c>
      <c r="E123" s="56"/>
      <c r="F123" s="57"/>
      <c r="G123" s="361"/>
      <c r="H123" s="361"/>
      <c r="I123" s="56"/>
      <c r="J123" s="56"/>
      <c r="K123" s="362"/>
      <c r="L123" s="363"/>
      <c r="M123" s="363"/>
      <c r="N123" s="258"/>
      <c r="O123" s="258"/>
    </row>
    <row r="124" spans="1:15" ht="14.15" customHeight="1" x14ac:dyDescent="0.3">
      <c r="A124" s="341"/>
      <c r="B124" s="444"/>
      <c r="C124" s="29"/>
      <c r="D124" s="1"/>
      <c r="E124" s="36"/>
      <c r="F124" s="41"/>
      <c r="G124" s="348"/>
      <c r="H124" s="348"/>
      <c r="I124" s="79"/>
      <c r="J124" s="79"/>
      <c r="K124" s="349"/>
      <c r="L124" s="350"/>
      <c r="M124" s="351"/>
      <c r="N124" s="258"/>
      <c r="O124" s="258"/>
    </row>
    <row r="125" spans="1:15" ht="28.5" customHeight="1" thickBot="1" x14ac:dyDescent="0.35">
      <c r="A125" s="381" t="s">
        <v>198</v>
      </c>
      <c r="B125" s="446" t="s">
        <v>199</v>
      </c>
      <c r="C125" s="86" t="s">
        <v>108</v>
      </c>
      <c r="D125" s="50">
        <v>10</v>
      </c>
      <c r="E125" s="51">
        <v>5</v>
      </c>
      <c r="F125" s="52">
        <v>0.2</v>
      </c>
      <c r="G125" s="376">
        <f>E125/(1-F125)</f>
        <v>6.25</v>
      </c>
      <c r="H125" s="376">
        <f>(100*3)</f>
        <v>300</v>
      </c>
      <c r="I125" s="84">
        <v>0.15</v>
      </c>
      <c r="J125" s="80">
        <f>H125*(1+I125)</f>
        <v>345</v>
      </c>
      <c r="K125" s="382">
        <f>J125*D125</f>
        <v>3450</v>
      </c>
      <c r="L125" s="407">
        <f>G125+J125</f>
        <v>351.25</v>
      </c>
      <c r="M125" s="378">
        <f>D125*L125</f>
        <v>3512.5</v>
      </c>
      <c r="N125" s="258"/>
      <c r="O125" s="258"/>
    </row>
    <row r="126" spans="1:15" ht="13.4" customHeight="1" thickBot="1" x14ac:dyDescent="0.35">
      <c r="A126" s="404"/>
      <c r="B126" s="453"/>
      <c r="C126" s="87"/>
      <c r="D126" s="1"/>
      <c r="E126" s="36"/>
      <c r="F126" s="41"/>
      <c r="G126" s="348"/>
      <c r="H126" s="348"/>
      <c r="I126" s="79"/>
      <c r="J126" s="79"/>
      <c r="K126" s="406"/>
      <c r="L126" s="350"/>
      <c r="M126" s="351"/>
      <c r="N126" s="258"/>
      <c r="O126" s="258"/>
    </row>
    <row r="127" spans="1:15" ht="14.15" customHeight="1" x14ac:dyDescent="0.3">
      <c r="A127" s="359">
        <v>2.17</v>
      </c>
      <c r="B127" s="450"/>
      <c r="C127" s="91"/>
      <c r="D127" s="58" t="s">
        <v>200</v>
      </c>
      <c r="E127" s="56"/>
      <c r="F127" s="57"/>
      <c r="G127" s="361"/>
      <c r="H127" s="361"/>
      <c r="I127" s="56"/>
      <c r="J127" s="56"/>
      <c r="K127" s="362"/>
      <c r="L127" s="363"/>
      <c r="M127" s="363"/>
      <c r="N127" s="258"/>
      <c r="O127" s="258"/>
    </row>
    <row r="128" spans="1:15" ht="14.15" customHeight="1" x14ac:dyDescent="0.3">
      <c r="A128" s="341"/>
      <c r="B128" s="454"/>
      <c r="C128" s="87"/>
      <c r="D128" s="1"/>
      <c r="E128" s="36"/>
      <c r="F128" s="41"/>
      <c r="G128" s="348"/>
      <c r="H128" s="348"/>
      <c r="I128" s="79"/>
      <c r="J128" s="79"/>
      <c r="K128" s="349"/>
      <c r="L128" s="350"/>
      <c r="M128" s="351"/>
      <c r="N128" s="258"/>
      <c r="O128" s="258"/>
    </row>
    <row r="129" spans="1:15" ht="14.15" customHeight="1" x14ac:dyDescent="0.3">
      <c r="A129" s="341"/>
      <c r="B129" s="443" t="s">
        <v>201</v>
      </c>
      <c r="C129" s="87"/>
      <c r="D129" s="1"/>
      <c r="E129" s="36"/>
      <c r="F129" s="41"/>
      <c r="G129" s="348"/>
      <c r="H129" s="348"/>
      <c r="I129" s="79"/>
      <c r="J129" s="79"/>
      <c r="K129" s="349"/>
      <c r="L129" s="350"/>
      <c r="M129" s="351"/>
      <c r="N129" s="258"/>
      <c r="O129" s="258"/>
    </row>
    <row r="130" spans="1:15" ht="14.15" customHeight="1" x14ac:dyDescent="0.3">
      <c r="A130" s="384"/>
      <c r="B130" s="455"/>
      <c r="C130" s="87"/>
      <c r="D130" s="1"/>
      <c r="E130" s="36"/>
      <c r="F130" s="41"/>
      <c r="G130" s="348"/>
      <c r="H130" s="348"/>
      <c r="I130" s="79"/>
      <c r="J130" s="79"/>
      <c r="K130" s="349"/>
      <c r="L130" s="350"/>
      <c r="M130" s="351"/>
      <c r="N130" s="258"/>
      <c r="O130" s="258"/>
    </row>
    <row r="131" spans="1:15" ht="28" customHeight="1" x14ac:dyDescent="0.3">
      <c r="A131" s="341" t="s">
        <v>202</v>
      </c>
      <c r="B131" s="443" t="s">
        <v>203</v>
      </c>
      <c r="C131" s="87" t="s">
        <v>42</v>
      </c>
      <c r="D131" s="1">
        <v>0</v>
      </c>
      <c r="E131" s="36"/>
      <c r="F131" s="41">
        <v>0.2</v>
      </c>
      <c r="G131" s="348">
        <f>E131/(1-F131)</f>
        <v>0</v>
      </c>
      <c r="H131" s="348">
        <f>140*(20+60+200)</f>
        <v>39200</v>
      </c>
      <c r="I131" s="83">
        <v>0.15</v>
      </c>
      <c r="J131" s="79">
        <f>H131*(1+I131)</f>
        <v>45080</v>
      </c>
      <c r="K131" s="349">
        <f>J131*D131</f>
        <v>0</v>
      </c>
      <c r="L131" s="350">
        <f>G131+J131</f>
        <v>45080</v>
      </c>
      <c r="M131" s="351">
        <f>D131*L131</f>
        <v>0</v>
      </c>
      <c r="N131" s="258"/>
      <c r="O131" s="258"/>
    </row>
    <row r="132" spans="1:15" s="297" customFormat="1" ht="28" customHeight="1" x14ac:dyDescent="0.3">
      <c r="A132" s="341" t="s">
        <v>204</v>
      </c>
      <c r="B132" s="443" t="s">
        <v>205</v>
      </c>
      <c r="C132" s="87" t="s">
        <v>42</v>
      </c>
      <c r="D132" s="1">
        <v>0</v>
      </c>
      <c r="E132" s="36"/>
      <c r="F132" s="41">
        <v>0.2</v>
      </c>
      <c r="G132" s="348">
        <f>E132/(1-F132)</f>
        <v>0</v>
      </c>
      <c r="H132" s="348">
        <f>140*(20+60+200)</f>
        <v>39200</v>
      </c>
      <c r="I132" s="83">
        <v>0.15</v>
      </c>
      <c r="J132" s="79">
        <f>H132*(1+I132)</f>
        <v>45080</v>
      </c>
      <c r="K132" s="349">
        <f>J132*D132</f>
        <v>0</v>
      </c>
      <c r="L132" s="350">
        <f>G132+J132</f>
        <v>45080</v>
      </c>
      <c r="M132" s="351">
        <f>D132*L132</f>
        <v>0</v>
      </c>
      <c r="N132" s="258"/>
      <c r="O132" s="258"/>
    </row>
    <row r="133" spans="1:15" s="297" customFormat="1" ht="14.15" customHeight="1" x14ac:dyDescent="0.3">
      <c r="A133" s="341" t="s">
        <v>206</v>
      </c>
      <c r="B133" s="443" t="s">
        <v>207</v>
      </c>
      <c r="C133" s="87" t="s">
        <v>42</v>
      </c>
      <c r="D133" s="1">
        <v>0</v>
      </c>
      <c r="E133" s="36">
        <f>35*(50+50)</f>
        <v>3500</v>
      </c>
      <c r="F133" s="41">
        <v>0.2</v>
      </c>
      <c r="G133" s="348">
        <f>E133/(1-F133)</f>
        <v>4375</v>
      </c>
      <c r="H133" s="348">
        <f>5*(50+50+50)</f>
        <v>750</v>
      </c>
      <c r="I133" s="83">
        <v>0.15</v>
      </c>
      <c r="J133" s="79">
        <f>H133*(1+I133)</f>
        <v>862.49999999999989</v>
      </c>
      <c r="K133" s="349">
        <f>J133*D133</f>
        <v>0</v>
      </c>
      <c r="L133" s="350">
        <f>G133+J133</f>
        <v>5237.5</v>
      </c>
      <c r="M133" s="351">
        <f>D133*L133</f>
        <v>0</v>
      </c>
      <c r="N133" s="258"/>
      <c r="O133" s="258"/>
    </row>
    <row r="134" spans="1:15" s="297" customFormat="1" ht="14.5" customHeight="1" thickBot="1" x14ac:dyDescent="0.35">
      <c r="A134" s="381" t="s">
        <v>208</v>
      </c>
      <c r="B134" s="446" t="s">
        <v>209</v>
      </c>
      <c r="C134" s="86" t="s">
        <v>42</v>
      </c>
      <c r="D134" s="50">
        <v>0</v>
      </c>
      <c r="E134" s="51">
        <f>4500*3</f>
        <v>13500</v>
      </c>
      <c r="F134" s="52">
        <v>0.2</v>
      </c>
      <c r="G134" s="376">
        <f>E134/(1-F134)</f>
        <v>16875</v>
      </c>
      <c r="H134" s="376">
        <v>5</v>
      </c>
      <c r="I134" s="84">
        <v>0.15</v>
      </c>
      <c r="J134" s="80">
        <f>H134*(1+I134)</f>
        <v>5.75</v>
      </c>
      <c r="K134" s="382">
        <f>J134*D134</f>
        <v>0</v>
      </c>
      <c r="L134" s="407">
        <f>G134+J134</f>
        <v>16880.75</v>
      </c>
      <c r="M134" s="378">
        <f>D134*L134</f>
        <v>0</v>
      </c>
      <c r="N134" s="258"/>
      <c r="O134" s="258"/>
    </row>
    <row r="135" spans="1:15" s="297" customFormat="1" ht="14.5" customHeight="1" thickBot="1" x14ac:dyDescent="0.35">
      <c r="A135" s="404"/>
      <c r="B135" s="456"/>
      <c r="C135" s="1"/>
      <c r="D135" s="1"/>
      <c r="E135" s="36"/>
      <c r="F135" s="41"/>
      <c r="G135" s="348"/>
      <c r="H135" s="348"/>
      <c r="I135" s="79"/>
      <c r="J135" s="79"/>
      <c r="K135" s="406"/>
      <c r="L135" s="350"/>
      <c r="M135" s="351"/>
      <c r="N135" s="258"/>
      <c r="O135" s="258"/>
    </row>
    <row r="136" spans="1:15" s="297" customFormat="1" ht="14.15" customHeight="1" x14ac:dyDescent="0.3">
      <c r="A136" s="359">
        <v>2.1800000000000002</v>
      </c>
      <c r="B136" s="450"/>
      <c r="C136" s="91"/>
      <c r="D136" s="55" t="s">
        <v>210</v>
      </c>
      <c r="E136" s="56"/>
      <c r="F136" s="57"/>
      <c r="G136" s="361"/>
      <c r="H136" s="361"/>
      <c r="I136" s="56"/>
      <c r="J136" s="56"/>
      <c r="K136" s="362"/>
      <c r="L136" s="363"/>
      <c r="M136" s="363"/>
      <c r="N136" s="258"/>
      <c r="O136" s="258"/>
    </row>
    <row r="137" spans="1:15" s="297" customFormat="1" ht="14.15" customHeight="1" x14ac:dyDescent="0.3">
      <c r="A137" s="341"/>
      <c r="B137" s="454"/>
      <c r="C137" s="87"/>
      <c r="D137" s="1"/>
      <c r="E137" s="36"/>
      <c r="F137" s="41"/>
      <c r="G137" s="348"/>
      <c r="H137" s="348"/>
      <c r="I137" s="79"/>
      <c r="J137" s="79"/>
      <c r="K137" s="349"/>
      <c r="L137" s="350"/>
      <c r="M137" s="351"/>
      <c r="N137" s="258"/>
      <c r="O137" s="258"/>
    </row>
    <row r="138" spans="1:15" s="297" customFormat="1" ht="14.15" customHeight="1" x14ac:dyDescent="0.3">
      <c r="A138" s="341" t="s">
        <v>211</v>
      </c>
      <c r="B138" s="443" t="s">
        <v>243</v>
      </c>
      <c r="C138" s="87" t="s">
        <v>42</v>
      </c>
      <c r="D138" s="1">
        <v>2</v>
      </c>
      <c r="E138" s="36">
        <v>10000</v>
      </c>
      <c r="F138" s="41">
        <v>0.2</v>
      </c>
      <c r="G138" s="348">
        <f>E138/(1-F138)</f>
        <v>12500</v>
      </c>
      <c r="H138" s="348">
        <f>2500*3</f>
        <v>7500</v>
      </c>
      <c r="I138" s="79"/>
      <c r="J138" s="79"/>
      <c r="K138" s="349">
        <f>H138*D138</f>
        <v>15000</v>
      </c>
      <c r="L138" s="350">
        <f>G138+J138</f>
        <v>12500</v>
      </c>
      <c r="M138" s="351">
        <f>D138*L138</f>
        <v>25000</v>
      </c>
      <c r="N138" s="258"/>
      <c r="O138" s="258"/>
    </row>
    <row r="139" spans="1:15" s="297" customFormat="1" ht="14.5" customHeight="1" thickBot="1" x14ac:dyDescent="0.35">
      <c r="A139" s="381"/>
      <c r="B139" s="411"/>
      <c r="C139" s="50"/>
      <c r="D139" s="50"/>
      <c r="E139" s="51"/>
      <c r="F139" s="52"/>
      <c r="G139" s="376"/>
      <c r="H139" s="376"/>
      <c r="I139" s="80"/>
      <c r="J139" s="80"/>
      <c r="K139" s="382">
        <f>H139*D139</f>
        <v>0</v>
      </c>
      <c r="L139" s="412"/>
      <c r="M139" s="378"/>
      <c r="N139" s="258"/>
      <c r="O139" s="258"/>
    </row>
    <row r="140" spans="1:15" s="297" customFormat="1" ht="14.15" customHeight="1" x14ac:dyDescent="0.3">
      <c r="A140" s="369"/>
      <c r="B140" s="413"/>
      <c r="C140" s="1"/>
      <c r="D140" s="1"/>
      <c r="E140" s="36"/>
      <c r="F140" s="41"/>
      <c r="G140" s="348"/>
      <c r="H140" s="348"/>
      <c r="I140" s="36"/>
      <c r="J140" s="36"/>
      <c r="K140" s="414"/>
      <c r="L140" s="350"/>
      <c r="M140" s="351"/>
      <c r="N140" s="258"/>
      <c r="O140" s="258"/>
    </row>
    <row r="141" spans="1:15" s="297" customFormat="1" ht="14.15" customHeight="1" x14ac:dyDescent="0.3">
      <c r="A141" s="404">
        <v>2.19</v>
      </c>
      <c r="B141" s="455" t="s">
        <v>213</v>
      </c>
      <c r="C141" s="29"/>
      <c r="D141" s="1"/>
      <c r="E141" s="36"/>
      <c r="F141" s="41"/>
      <c r="G141" s="348"/>
      <c r="H141" s="348"/>
      <c r="I141" s="36"/>
      <c r="J141" s="36"/>
      <c r="K141" s="415">
        <f>H141*D141</f>
        <v>0</v>
      </c>
      <c r="L141" s="350"/>
      <c r="M141" s="351"/>
      <c r="N141" s="258"/>
      <c r="O141" s="258"/>
    </row>
    <row r="142" spans="1:15" s="297" customFormat="1" ht="14.15" customHeight="1" x14ac:dyDescent="0.3">
      <c r="A142" s="404" t="s">
        <v>214</v>
      </c>
      <c r="B142" s="443" t="s">
        <v>215</v>
      </c>
      <c r="C142" s="29" t="s">
        <v>42</v>
      </c>
      <c r="D142" s="1">
        <v>1</v>
      </c>
      <c r="E142" s="36">
        <v>25000</v>
      </c>
      <c r="F142" s="41">
        <v>0</v>
      </c>
      <c r="G142" s="348">
        <f>E142/(1-F142)</f>
        <v>25000</v>
      </c>
      <c r="H142" s="348">
        <v>0</v>
      </c>
      <c r="I142" s="36"/>
      <c r="J142" s="36"/>
      <c r="K142" s="415">
        <f>H142*D142</f>
        <v>0</v>
      </c>
      <c r="L142" s="350">
        <f>G142+H142</f>
        <v>25000</v>
      </c>
      <c r="M142" s="351">
        <f>D142*L142</f>
        <v>25000</v>
      </c>
      <c r="N142" s="258"/>
      <c r="O142" s="258"/>
    </row>
    <row r="143" spans="1:15" s="297" customFormat="1" ht="14.15" customHeight="1" x14ac:dyDescent="0.3">
      <c r="A143" s="404"/>
      <c r="B143" s="455"/>
      <c r="C143" s="29"/>
      <c r="D143" s="1"/>
      <c r="E143" s="36"/>
      <c r="F143" s="41"/>
      <c r="G143" s="348"/>
      <c r="H143" s="348"/>
      <c r="I143" s="36"/>
      <c r="J143" s="36"/>
      <c r="K143" s="415"/>
      <c r="L143" s="350"/>
      <c r="M143" s="351"/>
      <c r="N143" s="258"/>
      <c r="O143" s="258"/>
    </row>
    <row r="144" spans="1:15" s="297" customFormat="1" ht="14.15" customHeight="1" x14ac:dyDescent="0.3">
      <c r="A144" s="416">
        <v>2.2000000000000002</v>
      </c>
      <c r="B144" s="455" t="s">
        <v>216</v>
      </c>
      <c r="C144" s="29"/>
      <c r="D144" s="1"/>
      <c r="E144" s="36"/>
      <c r="F144" s="41"/>
      <c r="G144" s="348"/>
      <c r="H144" s="348"/>
      <c r="I144" s="36"/>
      <c r="J144" s="36"/>
      <c r="K144" s="415">
        <f>H144*D144</f>
        <v>0</v>
      </c>
      <c r="L144" s="350"/>
      <c r="M144" s="351"/>
      <c r="N144" s="258"/>
      <c r="O144" s="258"/>
    </row>
    <row r="145" spans="1:15" s="297" customFormat="1" ht="14.15" customHeight="1" x14ac:dyDescent="0.3">
      <c r="A145" s="404" t="s">
        <v>217</v>
      </c>
      <c r="B145" s="443" t="s">
        <v>218</v>
      </c>
      <c r="C145" s="29" t="s">
        <v>42</v>
      </c>
      <c r="D145" s="1">
        <v>1</v>
      </c>
      <c r="E145" s="36">
        <f>15000</f>
        <v>15000</v>
      </c>
      <c r="F145" s="41">
        <v>0</v>
      </c>
      <c r="G145" s="348">
        <f>E145/(1-F145)</f>
        <v>15000</v>
      </c>
      <c r="H145" s="348">
        <v>0</v>
      </c>
      <c r="I145" s="36"/>
      <c r="J145" s="36"/>
      <c r="K145" s="415">
        <f>H145*D145</f>
        <v>0</v>
      </c>
      <c r="L145" s="350">
        <f>G145+H145</f>
        <v>15000</v>
      </c>
      <c r="M145" s="351">
        <f>D145*L145</f>
        <v>15000</v>
      </c>
      <c r="N145" s="258"/>
      <c r="O145" s="258"/>
    </row>
    <row r="146" spans="1:15" s="297" customFormat="1" ht="14.15" customHeight="1" x14ac:dyDescent="0.3">
      <c r="A146" s="404"/>
      <c r="B146" s="455"/>
      <c r="C146" s="29"/>
      <c r="D146" s="1"/>
      <c r="E146" s="36"/>
      <c r="F146" s="41"/>
      <c r="G146" s="348"/>
      <c r="H146" s="348"/>
      <c r="I146" s="36"/>
      <c r="J146" s="36"/>
      <c r="K146" s="415"/>
      <c r="L146" s="350"/>
      <c r="M146" s="351"/>
      <c r="N146" s="258"/>
      <c r="O146" s="258"/>
    </row>
    <row r="147" spans="1:15" s="297" customFormat="1" ht="14.15" customHeight="1" x14ac:dyDescent="0.3">
      <c r="A147" s="404">
        <v>2.21</v>
      </c>
      <c r="B147" s="455" t="s">
        <v>219</v>
      </c>
      <c r="C147" s="29"/>
      <c r="D147" s="1"/>
      <c r="E147" s="36"/>
      <c r="F147" s="41"/>
      <c r="G147" s="348"/>
      <c r="H147" s="348"/>
      <c r="I147" s="36"/>
      <c r="J147" s="36"/>
      <c r="K147" s="415">
        <f>H147*D147</f>
        <v>0</v>
      </c>
      <c r="L147" s="350"/>
      <c r="M147" s="351"/>
      <c r="N147" s="258"/>
      <c r="O147" s="258"/>
    </row>
    <row r="148" spans="1:15" ht="14.15" customHeight="1" x14ac:dyDescent="0.3">
      <c r="A148" s="404" t="s">
        <v>220</v>
      </c>
      <c r="B148" s="443" t="s">
        <v>221</v>
      </c>
      <c r="C148" s="29" t="s">
        <v>42</v>
      </c>
      <c r="D148" s="1">
        <v>1</v>
      </c>
      <c r="E148" s="36">
        <f>5000</f>
        <v>5000</v>
      </c>
      <c r="F148" s="41">
        <v>0</v>
      </c>
      <c r="G148" s="348">
        <f>E148/(1-F148)</f>
        <v>5000</v>
      </c>
      <c r="H148" s="348">
        <v>0</v>
      </c>
      <c r="I148" s="36"/>
      <c r="J148" s="36"/>
      <c r="K148" s="415">
        <f>H148*D148</f>
        <v>0</v>
      </c>
      <c r="L148" s="350">
        <f>G148+H148</f>
        <v>5000</v>
      </c>
      <c r="M148" s="351">
        <f>D148*L148</f>
        <v>5000</v>
      </c>
      <c r="N148" s="258"/>
      <c r="O148" s="258"/>
    </row>
    <row r="149" spans="1:15" ht="14.15" customHeight="1" x14ac:dyDescent="0.3">
      <c r="A149" s="404" t="s">
        <v>222</v>
      </c>
      <c r="B149" s="443" t="s">
        <v>223</v>
      </c>
      <c r="C149" s="29" t="s">
        <v>42</v>
      </c>
      <c r="D149" s="1">
        <v>1</v>
      </c>
      <c r="E149" s="36">
        <f>50000</f>
        <v>50000</v>
      </c>
      <c r="F149" s="41">
        <v>0</v>
      </c>
      <c r="G149" s="348">
        <f>E149/(1-F149)</f>
        <v>50000</v>
      </c>
      <c r="H149" s="348">
        <v>0</v>
      </c>
      <c r="I149" s="36"/>
      <c r="J149" s="36"/>
      <c r="K149" s="415">
        <f>H149*D149</f>
        <v>0</v>
      </c>
      <c r="L149" s="350">
        <f>G149+H149</f>
        <v>50000</v>
      </c>
      <c r="M149" s="351">
        <f>D149*L149</f>
        <v>50000</v>
      </c>
      <c r="N149" s="258"/>
      <c r="O149" s="258"/>
    </row>
    <row r="150" spans="1:15" ht="14.15" customHeight="1" x14ac:dyDescent="0.3">
      <c r="A150" s="404"/>
      <c r="B150" s="413"/>
      <c r="C150" s="28"/>
      <c r="D150" s="1"/>
      <c r="E150" s="36"/>
      <c r="F150" s="41"/>
      <c r="G150" s="348"/>
      <c r="H150" s="348"/>
      <c r="I150" s="36"/>
      <c r="J150" s="36"/>
      <c r="K150" s="415"/>
      <c r="L150" s="350"/>
      <c r="M150" s="351"/>
      <c r="N150" s="258"/>
      <c r="O150" s="258"/>
    </row>
    <row r="151" spans="1:15" ht="14.15" customHeight="1" x14ac:dyDescent="0.3">
      <c r="A151" s="404">
        <v>2.2200000000000002</v>
      </c>
      <c r="B151" s="455" t="s">
        <v>224</v>
      </c>
      <c r="C151" s="28"/>
      <c r="D151" s="1"/>
      <c r="E151" s="36"/>
      <c r="F151" s="41"/>
      <c r="G151" s="348"/>
      <c r="H151" s="348"/>
      <c r="I151" s="36"/>
      <c r="J151" s="36"/>
      <c r="K151" s="415">
        <f>H151*D151</f>
        <v>0</v>
      </c>
      <c r="L151" s="350"/>
      <c r="M151" s="351"/>
      <c r="N151" s="258"/>
      <c r="O151" s="258"/>
    </row>
    <row r="152" spans="1:15" ht="14.15" customHeight="1" x14ac:dyDescent="0.3">
      <c r="A152" s="404"/>
      <c r="B152" s="413"/>
      <c r="C152" s="28"/>
      <c r="D152" s="1"/>
      <c r="E152" s="36"/>
      <c r="F152" s="41"/>
      <c r="G152" s="348"/>
      <c r="H152" s="348"/>
      <c r="I152" s="36"/>
      <c r="J152" s="36"/>
      <c r="K152" s="415">
        <f>H152*D152</f>
        <v>0</v>
      </c>
      <c r="L152" s="350"/>
      <c r="M152" s="351"/>
      <c r="N152" s="258"/>
      <c r="O152" s="258"/>
    </row>
    <row r="153" spans="1:15" ht="28" customHeight="1" x14ac:dyDescent="0.3">
      <c r="A153" s="404" t="s">
        <v>225</v>
      </c>
      <c r="B153" s="443" t="s">
        <v>226</v>
      </c>
      <c r="C153" s="1" t="s">
        <v>42</v>
      </c>
      <c r="D153" s="1">
        <v>1</v>
      </c>
      <c r="E153" s="36">
        <f>5000*3</f>
        <v>15000</v>
      </c>
      <c r="F153" s="41">
        <v>0.2</v>
      </c>
      <c r="G153" s="348">
        <f>E153/(1-F153)</f>
        <v>18750</v>
      </c>
      <c r="H153" s="348">
        <v>1</v>
      </c>
      <c r="I153" s="36"/>
      <c r="J153" s="36"/>
      <c r="K153" s="415">
        <f>H153*D153</f>
        <v>1</v>
      </c>
      <c r="L153" s="350">
        <f>G153+H153</f>
        <v>18751</v>
      </c>
      <c r="M153" s="351">
        <f>D153*L153</f>
        <v>18751</v>
      </c>
      <c r="N153" s="258"/>
      <c r="O153" s="258"/>
    </row>
    <row r="154" spans="1:15" ht="14.15" customHeight="1" x14ac:dyDescent="0.3">
      <c r="A154" s="404"/>
      <c r="B154" s="413"/>
      <c r="C154" s="28"/>
      <c r="D154" s="1"/>
      <c r="E154" s="36"/>
      <c r="F154" s="41"/>
      <c r="G154" s="348"/>
      <c r="H154" s="348"/>
      <c r="I154" s="36"/>
      <c r="J154" s="36"/>
      <c r="K154" s="417"/>
      <c r="L154" s="350"/>
      <c r="M154" s="418"/>
      <c r="N154" s="258"/>
      <c r="O154" s="258"/>
    </row>
    <row r="155" spans="1:15" ht="14.5" customHeight="1" thickBot="1" x14ac:dyDescent="0.35">
      <c r="A155" s="440"/>
      <c r="B155" s="413"/>
      <c r="C155" s="28"/>
      <c r="D155" s="1"/>
      <c r="E155" s="36"/>
      <c r="F155" s="41"/>
      <c r="G155" s="348"/>
      <c r="H155" s="348"/>
      <c r="I155" s="36"/>
      <c r="J155" s="36"/>
      <c r="K155" s="417"/>
      <c r="L155" s="350"/>
      <c r="M155" s="418"/>
      <c r="N155" s="258"/>
      <c r="O155" s="258"/>
    </row>
    <row r="156" spans="1:15" ht="18.75" customHeight="1" thickTop="1" x14ac:dyDescent="0.3">
      <c r="A156" s="419"/>
      <c r="B156" s="457" t="s">
        <v>227</v>
      </c>
      <c r="C156" s="2"/>
      <c r="D156" s="2"/>
      <c r="E156" s="39"/>
      <c r="F156" s="42"/>
      <c r="G156" s="421"/>
      <c r="H156" s="421"/>
      <c r="I156" s="39"/>
      <c r="J156" s="39"/>
      <c r="K156" s="422">
        <f>SUM(K11:K153)</f>
        <v>757584.74999999988</v>
      </c>
      <c r="L156" s="458"/>
      <c r="M156" s="424">
        <f>SUM(M11:M155)</f>
        <v>14449813.308583334</v>
      </c>
      <c r="N156" s="258"/>
      <c r="O156" s="258"/>
    </row>
    <row r="157" spans="1:15" ht="16.5" customHeight="1" x14ac:dyDescent="0.3">
      <c r="A157" s="426"/>
      <c r="B157" s="427"/>
      <c r="C157" s="257"/>
      <c r="D157" s="47"/>
      <c r="E157" s="250"/>
      <c r="F157" s="48"/>
      <c r="G157" s="428"/>
      <c r="H157" s="428"/>
      <c r="I157" s="250"/>
      <c r="J157" s="250"/>
      <c r="K157" s="429"/>
      <c r="L157" s="430"/>
      <c r="M157" s="431"/>
      <c r="N157" s="258"/>
      <c r="O157" s="258"/>
    </row>
    <row r="158" spans="1:15" ht="18.75" customHeight="1" x14ac:dyDescent="0.3">
      <c r="A158" s="258"/>
      <c r="B158" s="387"/>
      <c r="C158" s="34"/>
      <c r="D158" s="249"/>
      <c r="E158" s="249"/>
      <c r="F158" s="249"/>
      <c r="G158" s="432"/>
      <c r="H158" s="432"/>
      <c r="I158" s="249"/>
      <c r="J158" s="249"/>
      <c r="K158" s="432"/>
      <c r="L158" s="433"/>
      <c r="M158" s="434"/>
      <c r="N158" s="258"/>
      <c r="O158" s="258"/>
    </row>
    <row r="159" spans="1:15" ht="18.75" customHeight="1" x14ac:dyDescent="0.25">
      <c r="A159" s="258"/>
      <c r="B159" s="258"/>
      <c r="G159" s="258"/>
      <c r="H159" s="258"/>
      <c r="K159" s="258"/>
      <c r="L159" s="258"/>
      <c r="M159" s="258"/>
      <c r="N159" s="258"/>
      <c r="O159" s="258"/>
    </row>
    <row r="160" spans="1:15" ht="18.75" customHeight="1" x14ac:dyDescent="0.25">
      <c r="A160" s="258"/>
      <c r="B160" s="258"/>
      <c r="G160" s="258"/>
      <c r="H160" s="258"/>
      <c r="K160" s="258"/>
      <c r="L160" s="258"/>
      <c r="M160" s="258"/>
      <c r="N160" s="258"/>
      <c r="O160" s="258"/>
    </row>
    <row r="161" spans="1:15" ht="18.75" customHeight="1" x14ac:dyDescent="0.25">
      <c r="A161" s="258"/>
      <c r="B161" s="258"/>
      <c r="G161" s="258"/>
      <c r="H161" s="258"/>
      <c r="K161" s="258"/>
      <c r="L161" s="258"/>
      <c r="M161" s="258"/>
      <c r="N161" s="258"/>
      <c r="O161" s="258"/>
    </row>
    <row r="162" spans="1:15" ht="18.75" customHeight="1" x14ac:dyDescent="0.25">
      <c r="A162" s="258"/>
      <c r="B162" s="258"/>
      <c r="G162" s="258"/>
      <c r="H162" s="258"/>
      <c r="K162" s="258"/>
      <c r="L162" s="258"/>
      <c r="M162" s="258"/>
      <c r="N162" s="258"/>
      <c r="O162" s="258"/>
    </row>
    <row r="163" spans="1:15" ht="18.75" customHeight="1" x14ac:dyDescent="0.25">
      <c r="A163" s="258"/>
      <c r="B163" s="258"/>
      <c r="G163" s="258"/>
      <c r="H163" s="258"/>
      <c r="K163" s="258"/>
      <c r="L163" s="258"/>
      <c r="M163" s="258"/>
      <c r="N163" s="258"/>
      <c r="O163" s="258"/>
    </row>
    <row r="164" spans="1:15" ht="18.75" customHeight="1" x14ac:dyDescent="0.25">
      <c r="A164" s="258"/>
      <c r="B164" s="258"/>
      <c r="G164" s="258"/>
      <c r="H164" s="258"/>
      <c r="K164" s="258"/>
      <c r="L164" s="258"/>
      <c r="M164" s="258"/>
      <c r="N164" s="258"/>
      <c r="O164" s="258"/>
    </row>
    <row r="165" spans="1:15" ht="18.75" customHeight="1" x14ac:dyDescent="0.25">
      <c r="A165" s="258"/>
      <c r="B165" s="258"/>
      <c r="G165" s="258"/>
      <c r="H165" s="258"/>
      <c r="K165" s="258"/>
      <c r="L165" s="258"/>
      <c r="M165" s="258"/>
      <c r="N165" s="258"/>
      <c r="O165" s="258"/>
    </row>
    <row r="166" spans="1:15" ht="18.75" customHeight="1" x14ac:dyDescent="0.25">
      <c r="A166" s="258"/>
      <c r="B166" s="258"/>
      <c r="G166" s="258"/>
      <c r="H166" s="258"/>
      <c r="K166" s="258"/>
      <c r="L166" s="258"/>
      <c r="M166" s="258"/>
      <c r="N166" s="258"/>
      <c r="O166" s="258"/>
    </row>
    <row r="167" spans="1:15" ht="18.75" customHeight="1" x14ac:dyDescent="0.25">
      <c r="A167" s="258"/>
      <c r="B167" s="258"/>
      <c r="G167" s="258"/>
      <c r="H167" s="258"/>
      <c r="K167" s="258"/>
      <c r="L167" s="258"/>
      <c r="M167" s="258"/>
      <c r="N167" s="258"/>
      <c r="O167" s="258"/>
    </row>
    <row r="168" spans="1:15" s="8" customFormat="1" ht="18.75" customHeight="1" x14ac:dyDescent="0.25">
      <c r="A168" s="258"/>
      <c r="B168" s="435"/>
      <c r="C168" s="35"/>
      <c r="G168" s="258"/>
      <c r="H168" s="258"/>
      <c r="K168" s="258"/>
      <c r="L168" s="436"/>
      <c r="M168" s="437"/>
      <c r="N168" s="258"/>
      <c r="O168" s="258"/>
    </row>
    <row r="169" spans="1:15" s="8" customFormat="1" ht="18.75" customHeight="1" x14ac:dyDescent="0.25">
      <c r="A169" s="258"/>
      <c r="B169" s="435"/>
      <c r="C169" s="35"/>
      <c r="G169" s="258"/>
      <c r="H169" s="258"/>
      <c r="K169" s="258"/>
      <c r="L169" s="436"/>
      <c r="M169" s="437"/>
      <c r="N169" s="258"/>
      <c r="O169" s="258"/>
    </row>
    <row r="170" spans="1:15" s="8" customFormat="1" ht="18.75" customHeight="1" x14ac:dyDescent="0.25">
      <c r="A170" s="258"/>
      <c r="B170" s="435"/>
      <c r="C170" s="35"/>
      <c r="G170" s="258"/>
      <c r="H170" s="258"/>
      <c r="K170" s="258"/>
      <c r="L170" s="436"/>
      <c r="M170" s="437"/>
      <c r="N170" s="258"/>
      <c r="O170" s="258"/>
    </row>
    <row r="171" spans="1:15" s="8" customFormat="1" ht="18.75" customHeight="1" x14ac:dyDescent="0.25">
      <c r="A171" s="258"/>
      <c r="B171" s="435"/>
      <c r="C171" s="35"/>
      <c r="G171" s="258"/>
      <c r="H171" s="258"/>
      <c r="K171" s="258"/>
      <c r="L171" s="436"/>
      <c r="M171" s="437"/>
      <c r="N171" s="258"/>
      <c r="O171" s="258"/>
    </row>
    <row r="172" spans="1:15" s="8" customFormat="1" ht="18.75" customHeight="1" x14ac:dyDescent="0.25">
      <c r="A172" s="258"/>
      <c r="B172" s="435"/>
      <c r="C172" s="35"/>
      <c r="G172" s="258"/>
      <c r="H172" s="258"/>
      <c r="K172" s="258"/>
      <c r="L172" s="436"/>
      <c r="M172" s="437"/>
      <c r="N172" s="258"/>
      <c r="O172" s="258"/>
    </row>
    <row r="173" spans="1:15" s="8" customFormat="1" ht="18.75" customHeight="1" x14ac:dyDescent="0.25">
      <c r="A173" s="258"/>
      <c r="B173" s="435"/>
      <c r="C173" s="35"/>
      <c r="G173" s="258"/>
      <c r="H173" s="258"/>
      <c r="K173" s="258"/>
      <c r="L173" s="436"/>
      <c r="M173" s="437"/>
      <c r="N173" s="258"/>
      <c r="O173" s="258"/>
    </row>
    <row r="174" spans="1:15" s="8" customFormat="1" ht="18.75" customHeight="1" x14ac:dyDescent="0.25">
      <c r="A174" s="258"/>
      <c r="B174" s="435"/>
      <c r="C174" s="35"/>
      <c r="G174" s="258"/>
      <c r="H174" s="258"/>
      <c r="K174" s="258"/>
      <c r="L174" s="436"/>
      <c r="M174" s="437"/>
      <c r="N174" s="258"/>
      <c r="O174" s="258"/>
    </row>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174"/>
  <sheetViews>
    <sheetView view="pageBreakPreview" zoomScale="70" zoomScaleNormal="100" zoomScaleSheetLayoutView="70" workbookViewId="0">
      <pane ySplit="5" topLeftCell="A18" activePane="bottomLeft" state="frozen"/>
      <selection pane="bottomLeft" activeCell="M156" sqref="M156"/>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0" width="13.81640625" style="8" customWidth="1"/>
    <col min="11" max="11" width="14.81640625" style="8" bestFit="1" customWidth="1"/>
    <col min="12" max="12" width="13.54296875" style="295" bestFit="1"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5" t="s">
        <v>36</v>
      </c>
      <c r="E5" s="40" t="s">
        <v>72</v>
      </c>
      <c r="F5" s="82" t="s">
        <v>73</v>
      </c>
      <c r="G5" s="313" t="s">
        <v>74</v>
      </c>
      <c r="H5" s="314" t="s">
        <v>75</v>
      </c>
      <c r="I5" s="82" t="s">
        <v>73</v>
      </c>
      <c r="J5" s="315" t="s">
        <v>76</v>
      </c>
      <c r="K5" s="316"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347" t="s">
        <v>419</v>
      </c>
      <c r="C11" s="248" t="s">
        <v>85</v>
      </c>
      <c r="D11" s="107">
        <v>1</v>
      </c>
      <c r="E11" s="36">
        <f>1623.93*1.2</f>
        <v>1948.7159999999999</v>
      </c>
      <c r="F11" s="41">
        <v>0.25</v>
      </c>
      <c r="G11" s="348">
        <f>E11/(1-F11)</f>
        <v>2598.288</v>
      </c>
      <c r="H11" s="348">
        <v>350</v>
      </c>
      <c r="I11" s="83">
        <v>0.15</v>
      </c>
      <c r="J11" s="79">
        <f>H11*(1+I11)</f>
        <v>402.49999999999994</v>
      </c>
      <c r="K11" s="349">
        <f>J11*D11</f>
        <v>402.49999999999994</v>
      </c>
      <c r="L11" s="350">
        <f>G11+J11</f>
        <v>3000.788</v>
      </c>
      <c r="M11" s="351">
        <f>D11*L11</f>
        <v>3000.788</v>
      </c>
      <c r="N11" s="258"/>
      <c r="O11" s="258"/>
    </row>
    <row r="12" spans="1:15" ht="14.5" customHeight="1" thickBot="1" x14ac:dyDescent="0.35">
      <c r="A12" s="354"/>
      <c r="B12" s="441"/>
      <c r="C12" s="89"/>
      <c r="D12" s="72"/>
      <c r="E12" s="73"/>
      <c r="F12" s="74"/>
      <c r="G12" s="356"/>
      <c r="H12" s="356"/>
      <c r="I12" s="73"/>
      <c r="J12" s="73"/>
      <c r="K12" s="357"/>
      <c r="L12" s="358"/>
      <c r="M12" s="358"/>
      <c r="N12" s="258"/>
      <c r="O12" s="258"/>
    </row>
    <row r="13" spans="1:15" ht="14.15" customHeight="1" x14ac:dyDescent="0.3">
      <c r="A13" s="359" t="s">
        <v>86</v>
      </c>
      <c r="B13" s="360"/>
      <c r="C13" s="55"/>
      <c r="D13" s="58" t="s">
        <v>87</v>
      </c>
      <c r="E13" s="56"/>
      <c r="F13" s="57"/>
      <c r="G13" s="361"/>
      <c r="H13" s="361"/>
      <c r="I13" s="56"/>
      <c r="J13" s="56"/>
      <c r="K13" s="362"/>
      <c r="L13" s="363"/>
      <c r="M13" s="363"/>
      <c r="N13" s="258"/>
      <c r="O13" s="258"/>
    </row>
    <row r="14" spans="1:15" ht="14.5" customHeight="1" thickBot="1" x14ac:dyDescent="0.35">
      <c r="A14" s="341" t="s">
        <v>88</v>
      </c>
      <c r="B14" s="517" t="s">
        <v>420</v>
      </c>
      <c r="C14" s="85" t="s">
        <v>85</v>
      </c>
      <c r="D14" s="108">
        <v>2</v>
      </c>
      <c r="E14" s="36">
        <v>487501.10399999999</v>
      </c>
      <c r="F14" s="41">
        <v>0.2</v>
      </c>
      <c r="G14" s="348">
        <f>E14/(1-F14)</f>
        <v>609376.38</v>
      </c>
      <c r="H14" s="348">
        <f>(550*8)+3600</f>
        <v>8000</v>
      </c>
      <c r="I14" s="83">
        <v>0.15</v>
      </c>
      <c r="J14" s="79">
        <f>H14*(1+I14)</f>
        <v>9200</v>
      </c>
      <c r="K14" s="349">
        <f>J14*D14</f>
        <v>18400</v>
      </c>
      <c r="L14" s="350">
        <f>G14+J14</f>
        <v>618576.38</v>
      </c>
      <c r="M14" s="351">
        <f>D14*L14</f>
        <v>1237152.76</v>
      </c>
      <c r="N14" s="258"/>
      <c r="O14" s="258"/>
    </row>
    <row r="15" spans="1:15" ht="14.5" customHeight="1" thickBot="1" x14ac:dyDescent="0.35">
      <c r="A15" s="354"/>
      <c r="B15" s="441"/>
      <c r="C15" s="89"/>
      <c r="D15" s="72"/>
      <c r="E15" s="73"/>
      <c r="F15" s="74"/>
      <c r="G15" s="356"/>
      <c r="H15" s="356"/>
      <c r="I15" s="73"/>
      <c r="J15" s="73"/>
      <c r="K15" s="357"/>
      <c r="L15" s="358"/>
      <c r="M15" s="358"/>
      <c r="N15" s="258"/>
      <c r="O15" s="258"/>
    </row>
    <row r="16" spans="1:15" ht="14.15" customHeight="1" x14ac:dyDescent="0.3">
      <c r="A16" s="359">
        <v>2.2999999999999998</v>
      </c>
      <c r="B16" s="367"/>
      <c r="C16" s="55"/>
      <c r="D16" s="58" t="s">
        <v>91</v>
      </c>
      <c r="E16" s="56"/>
      <c r="F16" s="57"/>
      <c r="G16" s="361"/>
      <c r="H16" s="361"/>
      <c r="I16" s="56"/>
      <c r="J16" s="56"/>
      <c r="K16" s="362"/>
      <c r="L16" s="363"/>
      <c r="M16" s="363"/>
      <c r="N16" s="258"/>
      <c r="O16" s="258"/>
    </row>
    <row r="17" spans="1:15" ht="14.5" customHeight="1" thickBot="1" x14ac:dyDescent="0.35">
      <c r="A17" s="341" t="s">
        <v>92</v>
      </c>
      <c r="B17" s="446" t="s">
        <v>421</v>
      </c>
      <c r="C17" s="85" t="s">
        <v>85</v>
      </c>
      <c r="D17" s="108">
        <v>2</v>
      </c>
      <c r="E17" s="51">
        <v>90693.34</v>
      </c>
      <c r="F17" s="41">
        <v>0.2</v>
      </c>
      <c r="G17" s="348">
        <f>E17/(1-F17)</f>
        <v>113366.67499999999</v>
      </c>
      <c r="H17" s="348">
        <f>(550*4)+3500</f>
        <v>5700</v>
      </c>
      <c r="I17" s="83">
        <v>0.15</v>
      </c>
      <c r="J17" s="79">
        <f>H17*(1+I17)</f>
        <v>6554.9999999999991</v>
      </c>
      <c r="K17" s="349">
        <f>J17*D17</f>
        <v>13109.999999999998</v>
      </c>
      <c r="L17" s="350">
        <f>G17+J17</f>
        <v>119921.67499999999</v>
      </c>
      <c r="M17" s="351">
        <f>D17*L17</f>
        <v>239843.34999999998</v>
      </c>
      <c r="N17" s="258"/>
      <c r="O17" s="258"/>
    </row>
    <row r="18" spans="1:15" ht="14.5" customHeight="1" thickBot="1" x14ac:dyDescent="0.35">
      <c r="A18" s="341" t="s">
        <v>94</v>
      </c>
      <c r="B18" s="444" t="s">
        <v>422</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436"/>
      <c r="O18" s="369"/>
    </row>
    <row r="19" spans="1:15" ht="14.15" customHeight="1" x14ac:dyDescent="0.3">
      <c r="A19" s="359">
        <v>2.4</v>
      </c>
      <c r="B19" s="360"/>
      <c r="C19" s="55"/>
      <c r="D19" s="58" t="s">
        <v>96</v>
      </c>
      <c r="E19" s="56"/>
      <c r="F19" s="57"/>
      <c r="G19" s="361"/>
      <c r="H19" s="361"/>
      <c r="I19" s="56"/>
      <c r="J19" s="56"/>
      <c r="K19" s="362"/>
      <c r="L19" s="363"/>
      <c r="M19" s="363"/>
      <c r="N19" s="258"/>
      <c r="O19" s="258"/>
    </row>
    <row r="20" spans="1:15" ht="28" customHeight="1" x14ac:dyDescent="0.3">
      <c r="A20" s="370" t="s">
        <v>97</v>
      </c>
      <c r="B20" s="445" t="s">
        <v>423</v>
      </c>
      <c r="C20" s="7" t="s">
        <v>85</v>
      </c>
      <c r="D20" s="7">
        <v>5</v>
      </c>
      <c r="E20" s="37">
        <v>1087743.0959999999</v>
      </c>
      <c r="F20" s="41">
        <v>0.2</v>
      </c>
      <c r="G20" s="348">
        <f>E20/(1-F20)</f>
        <v>1359678.8699999999</v>
      </c>
      <c r="H20" s="371">
        <f>(550*8)+3600</f>
        <v>8000</v>
      </c>
      <c r="I20" s="83">
        <v>0.15</v>
      </c>
      <c r="J20" s="79">
        <f>H20*(1+I20)</f>
        <v>9200</v>
      </c>
      <c r="K20" s="349">
        <f>J20*D20</f>
        <v>46000</v>
      </c>
      <c r="L20" s="350">
        <f>G20+J20</f>
        <v>1368878.8699999999</v>
      </c>
      <c r="M20" s="351">
        <f>D20*L20</f>
        <v>6844394.3499999996</v>
      </c>
      <c r="N20" s="258"/>
      <c r="O20" s="258"/>
    </row>
    <row r="21" spans="1:15" ht="14.15" customHeight="1" x14ac:dyDescent="0.3">
      <c r="A21" s="370"/>
      <c r="B21" s="443"/>
      <c r="C21" s="7"/>
      <c r="D21" s="7"/>
      <c r="E21" s="37"/>
      <c r="F21" s="41"/>
      <c r="G21" s="348"/>
      <c r="H21" s="371"/>
      <c r="I21" s="66"/>
      <c r="J21" s="66"/>
      <c r="K21" s="349"/>
      <c r="L21" s="350"/>
      <c r="M21" s="351"/>
      <c r="N21" s="258"/>
      <c r="O21" s="258"/>
    </row>
    <row r="22" spans="1:15" ht="14.15" customHeight="1" x14ac:dyDescent="0.3">
      <c r="A22" s="370" t="s">
        <v>99</v>
      </c>
      <c r="B22" s="443"/>
      <c r="C22" s="7"/>
      <c r="D22" s="7"/>
      <c r="E22" s="37"/>
      <c r="F22" s="41"/>
      <c r="G22" s="348"/>
      <c r="H22" s="371"/>
      <c r="I22" s="66"/>
      <c r="J22" s="66"/>
      <c r="K22" s="349"/>
      <c r="L22" s="350"/>
      <c r="M22" s="351"/>
      <c r="N22" s="258"/>
      <c r="O22" s="258"/>
    </row>
    <row r="23" spans="1:15" ht="28.5" customHeight="1" thickBot="1" x14ac:dyDescent="0.35">
      <c r="A23" s="374"/>
      <c r="B23" s="446" t="s">
        <v>100</v>
      </c>
      <c r="C23" s="68" t="s">
        <v>85</v>
      </c>
      <c r="D23" s="68">
        <v>10</v>
      </c>
      <c r="E23" s="69">
        <f>1888.71*1.15</f>
        <v>2172.0164999999997</v>
      </c>
      <c r="F23" s="52">
        <v>0.2</v>
      </c>
      <c r="G23" s="376">
        <f>E23/(1-F23)</f>
        <v>2715.0206249999997</v>
      </c>
      <c r="H23" s="377">
        <f>250*1</f>
        <v>250</v>
      </c>
      <c r="I23" s="83">
        <v>0.15</v>
      </c>
      <c r="J23" s="79">
        <f>H23*(1+I23)</f>
        <v>287.5</v>
      </c>
      <c r="K23" s="349">
        <f>J23*D23</f>
        <v>2875</v>
      </c>
      <c r="L23" s="350">
        <f>G23+J23</f>
        <v>3002.5206249999997</v>
      </c>
      <c r="M23" s="378">
        <f>D23*L23</f>
        <v>30025.206249999996</v>
      </c>
      <c r="N23" s="258"/>
      <c r="O23" s="258"/>
    </row>
    <row r="24" spans="1:15" ht="14.5" customHeight="1" thickBot="1" x14ac:dyDescent="0.35">
      <c r="A24" s="354"/>
      <c r="B24" s="441"/>
      <c r="C24" s="89"/>
      <c r="D24" s="72"/>
      <c r="E24" s="73"/>
      <c r="F24" s="74"/>
      <c r="G24" s="356"/>
      <c r="H24" s="356"/>
      <c r="I24" s="73"/>
      <c r="J24" s="73"/>
      <c r="K24" s="357"/>
      <c r="L24" s="358"/>
      <c r="M24" s="358"/>
      <c r="N24" s="258"/>
      <c r="O24" s="258"/>
    </row>
    <row r="25" spans="1:15" ht="14.15" customHeight="1" x14ac:dyDescent="0.3">
      <c r="A25" s="379">
        <v>2.5</v>
      </c>
      <c r="B25" s="360"/>
      <c r="C25" s="55"/>
      <c r="D25" s="58" t="s">
        <v>101</v>
      </c>
      <c r="E25" s="56"/>
      <c r="F25" s="57"/>
      <c r="G25" s="361"/>
      <c r="H25" s="361"/>
      <c r="I25" s="56"/>
      <c r="J25" s="56"/>
      <c r="K25" s="362"/>
      <c r="L25" s="363"/>
      <c r="M25" s="363"/>
      <c r="N25" s="258"/>
      <c r="O25" s="258"/>
    </row>
    <row r="26" spans="1:15" ht="14.15" customHeight="1" x14ac:dyDescent="0.3">
      <c r="A26" s="380" t="s">
        <v>102</v>
      </c>
      <c r="B26" s="444" t="s">
        <v>103</v>
      </c>
      <c r="C26" s="7" t="s">
        <v>85</v>
      </c>
      <c r="D26" s="109">
        <f>D11</f>
        <v>1</v>
      </c>
      <c r="E26" s="37">
        <v>650</v>
      </c>
      <c r="F26" s="41">
        <v>0.2</v>
      </c>
      <c r="G26" s="348">
        <f>E26/(1-F26)</f>
        <v>812.5</v>
      </c>
      <c r="H26" s="371">
        <f>(((5*200)*4)*1.2)/D26</f>
        <v>4800</v>
      </c>
      <c r="I26" s="83">
        <v>0.15</v>
      </c>
      <c r="J26" s="79">
        <f>H26*(1+I26)</f>
        <v>5520</v>
      </c>
      <c r="K26" s="349">
        <f>J26*D26</f>
        <v>5520</v>
      </c>
      <c r="L26" s="350">
        <f>G26+J26</f>
        <v>6332.5</v>
      </c>
      <c r="M26" s="351">
        <f>D26*L26</f>
        <v>6332.5</v>
      </c>
      <c r="N26" s="258"/>
      <c r="O26" s="258"/>
    </row>
    <row r="27" spans="1:15" ht="14.5" customHeight="1" thickBot="1" x14ac:dyDescent="0.35">
      <c r="A27" s="381"/>
      <c r="B27" s="446" t="s">
        <v>104</v>
      </c>
      <c r="C27" s="85"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441"/>
      <c r="C28" s="89"/>
      <c r="D28" s="72"/>
      <c r="E28" s="73"/>
      <c r="F28" s="74"/>
      <c r="G28" s="356"/>
      <c r="H28" s="356"/>
      <c r="I28" s="73"/>
      <c r="J28" s="73"/>
      <c r="K28" s="357"/>
      <c r="L28" s="358"/>
      <c r="M28" s="358"/>
      <c r="N28" s="258"/>
      <c r="O28" s="258"/>
    </row>
    <row r="29" spans="1:15" ht="14.15" customHeight="1" x14ac:dyDescent="0.3">
      <c r="A29" s="359">
        <v>2.6</v>
      </c>
      <c r="B29" s="360"/>
      <c r="C29" s="55"/>
      <c r="D29" s="58" t="s">
        <v>105</v>
      </c>
      <c r="E29" s="56"/>
      <c r="F29" s="57"/>
      <c r="G29" s="361"/>
      <c r="H29" s="361"/>
      <c r="I29" s="56"/>
      <c r="J29" s="56"/>
      <c r="K29" s="362"/>
      <c r="L29" s="363"/>
      <c r="M29" s="363"/>
      <c r="N29" s="258"/>
      <c r="O29" s="258"/>
    </row>
    <row r="30" spans="1:15" ht="42" customHeight="1" x14ac:dyDescent="0.3">
      <c r="A30" s="341" t="s">
        <v>106</v>
      </c>
      <c r="B30" s="444" t="s">
        <v>107</v>
      </c>
      <c r="C30" s="248" t="s">
        <v>108</v>
      </c>
      <c r="D30" s="107">
        <v>0</v>
      </c>
      <c r="E30" s="36">
        <f>14.85*1.15</f>
        <v>17.077499999999997</v>
      </c>
      <c r="F30" s="41">
        <v>0.2</v>
      </c>
      <c r="G30" s="348">
        <f>E30/(1-F30)</f>
        <v>21.346874999999994</v>
      </c>
      <c r="H30" s="348">
        <f>39</f>
        <v>39</v>
      </c>
      <c r="I30" s="83">
        <v>0.15</v>
      </c>
      <c r="J30" s="79">
        <f>H30*(1+I30)</f>
        <v>44.849999999999994</v>
      </c>
      <c r="K30" s="349">
        <f>J30*D30</f>
        <v>0</v>
      </c>
      <c r="L30" s="350">
        <f>G30+J30</f>
        <v>66.196874999999991</v>
      </c>
      <c r="M30" s="351">
        <f>D30*L30</f>
        <v>0</v>
      </c>
      <c r="N30" s="258"/>
      <c r="O30" s="258"/>
    </row>
    <row r="31" spans="1:15" ht="14.15" customHeight="1" x14ac:dyDescent="0.3">
      <c r="A31" s="341" t="s">
        <v>109</v>
      </c>
      <c r="B31" s="443" t="s">
        <v>110</v>
      </c>
      <c r="C31" s="248" t="s">
        <v>108</v>
      </c>
      <c r="D31" s="1">
        <f>20 +N("1m * 20 cables")</f>
        <v>20</v>
      </c>
      <c r="E31" s="36">
        <f>180*1.15</f>
        <v>206.99999999999997</v>
      </c>
      <c r="F31" s="41">
        <v>0.2</v>
      </c>
      <c r="G31" s="348">
        <f>E31/(1-F31)</f>
        <v>258.74999999999994</v>
      </c>
      <c r="H31" s="348">
        <f>65</f>
        <v>65</v>
      </c>
      <c r="I31" s="83">
        <v>0.15</v>
      </c>
      <c r="J31" s="79">
        <f>H31*(1+I31)</f>
        <v>74.75</v>
      </c>
      <c r="K31" s="349">
        <f>J31*D31</f>
        <v>1495</v>
      </c>
      <c r="L31" s="350">
        <f>G31+J31</f>
        <v>333.49999999999994</v>
      </c>
      <c r="M31" s="351">
        <f>D31*L31</f>
        <v>6669.9999999999991</v>
      </c>
      <c r="N31" s="258"/>
      <c r="O31" s="258"/>
    </row>
    <row r="32" spans="1:15" ht="14.15" customHeight="1" x14ac:dyDescent="0.3">
      <c r="A32" s="341" t="s">
        <v>111</v>
      </c>
      <c r="B32" s="443" t="s">
        <v>112</v>
      </c>
      <c r="C32" s="248"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258"/>
    </row>
    <row r="33" spans="1:15" ht="14.5" customHeight="1" thickBot="1" x14ac:dyDescent="0.35">
      <c r="A33" s="381"/>
      <c r="B33" s="447" t="s">
        <v>113</v>
      </c>
      <c r="C33" s="85"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441"/>
      <c r="C34" s="89"/>
      <c r="D34" s="72"/>
      <c r="E34" s="73"/>
      <c r="F34" s="74"/>
      <c r="G34" s="356"/>
      <c r="H34" s="356"/>
      <c r="I34" s="73"/>
      <c r="J34" s="73"/>
      <c r="K34" s="357"/>
      <c r="L34" s="358"/>
      <c r="M34" s="358"/>
      <c r="N34" s="258"/>
      <c r="O34" s="258"/>
    </row>
    <row r="35" spans="1:15" ht="14.15" customHeight="1" x14ac:dyDescent="0.3">
      <c r="A35" s="359">
        <v>2.7</v>
      </c>
      <c r="B35" s="360"/>
      <c r="C35" s="55"/>
      <c r="D35" s="58" t="s">
        <v>114</v>
      </c>
      <c r="E35" s="56"/>
      <c r="F35" s="57"/>
      <c r="G35" s="361"/>
      <c r="H35" s="361"/>
      <c r="I35" s="56"/>
      <c r="J35" s="56"/>
      <c r="K35" s="362"/>
      <c r="L35" s="363"/>
      <c r="M35" s="363"/>
      <c r="N35" s="258"/>
      <c r="O35" s="258"/>
    </row>
    <row r="36" spans="1:15" ht="28" customHeight="1" x14ac:dyDescent="0.3">
      <c r="A36" s="370" t="s">
        <v>115</v>
      </c>
      <c r="B36" s="444" t="s">
        <v>116</v>
      </c>
      <c r="C36" s="7" t="s">
        <v>90</v>
      </c>
      <c r="D36" s="7">
        <v>0</v>
      </c>
      <c r="E36" s="37">
        <f>13501.37*1.2</f>
        <v>16201.644</v>
      </c>
      <c r="F36" s="41">
        <v>0.2</v>
      </c>
      <c r="G36" s="348">
        <f>E36/(1-F36)</f>
        <v>20252.055</v>
      </c>
      <c r="H36" s="371">
        <f>250*2</f>
        <v>500</v>
      </c>
      <c r="I36" s="83">
        <v>0.15</v>
      </c>
      <c r="J36" s="79">
        <f>H36*(1+I36)</f>
        <v>575</v>
      </c>
      <c r="K36" s="349">
        <f>J36*D36</f>
        <v>0</v>
      </c>
      <c r="L36" s="350">
        <f>G36+J36</f>
        <v>20827.055</v>
      </c>
      <c r="M36" s="351">
        <f>D36*L36</f>
        <v>0</v>
      </c>
      <c r="N36" s="258"/>
      <c r="O36" s="258"/>
    </row>
    <row r="37" spans="1:15" ht="28.5" customHeight="1" thickBot="1" x14ac:dyDescent="0.35">
      <c r="A37" s="381" t="s">
        <v>117</v>
      </c>
      <c r="B37" s="446" t="s">
        <v>424</v>
      </c>
      <c r="C37" s="68" t="s">
        <v>90</v>
      </c>
      <c r="D37" s="68">
        <v>6</v>
      </c>
      <c r="E37" s="69">
        <v>17000</v>
      </c>
      <c r="F37" s="52">
        <v>0.2</v>
      </c>
      <c r="G37" s="376">
        <f>E37/(1-F37)</f>
        <v>21250</v>
      </c>
      <c r="H37" s="377">
        <f>250*2</f>
        <v>500</v>
      </c>
      <c r="I37" s="83">
        <v>0.15</v>
      </c>
      <c r="J37" s="79">
        <f>H37*(1+I37)</f>
        <v>575</v>
      </c>
      <c r="K37" s="382">
        <f>J37*D37</f>
        <v>3450</v>
      </c>
      <c r="L37" s="350">
        <f>G37+J37</f>
        <v>21825</v>
      </c>
      <c r="M37" s="378">
        <f>D37*L37</f>
        <v>130950</v>
      </c>
      <c r="N37" s="258"/>
      <c r="O37" s="258"/>
    </row>
    <row r="38" spans="1:15" ht="14.5" customHeight="1" thickBot="1" x14ac:dyDescent="0.35">
      <c r="A38" s="354"/>
      <c r="B38" s="441"/>
      <c r="C38" s="89"/>
      <c r="D38" s="72"/>
      <c r="E38" s="73"/>
      <c r="F38" s="74"/>
      <c r="G38" s="356"/>
      <c r="H38" s="356"/>
      <c r="I38" s="73"/>
      <c r="J38" s="73"/>
      <c r="K38" s="357"/>
      <c r="L38" s="358"/>
      <c r="M38" s="358"/>
      <c r="N38" s="258"/>
      <c r="O38" s="258"/>
    </row>
    <row r="39" spans="1:15" ht="16.5" customHeight="1" x14ac:dyDescent="0.3">
      <c r="A39" s="359">
        <v>2.8</v>
      </c>
      <c r="B39" s="360"/>
      <c r="C39" s="55"/>
      <c r="D39" s="58" t="s">
        <v>119</v>
      </c>
      <c r="E39" s="56"/>
      <c r="F39" s="57"/>
      <c r="G39" s="361"/>
      <c r="H39" s="361"/>
      <c r="I39" s="56"/>
      <c r="J39" s="56"/>
      <c r="K39" s="362"/>
      <c r="L39" s="363"/>
      <c r="M39" s="363"/>
      <c r="N39" s="258"/>
      <c r="O39" s="258"/>
    </row>
    <row r="40" spans="1:15" ht="16.5" customHeight="1" x14ac:dyDescent="0.3">
      <c r="A40" s="384"/>
      <c r="B40" s="342"/>
      <c r="C40" s="248"/>
      <c r="D40" s="1"/>
      <c r="E40" s="36"/>
      <c r="F40" s="41"/>
      <c r="G40" s="348"/>
      <c r="H40" s="348"/>
      <c r="I40" s="83"/>
      <c r="J40" s="79"/>
      <c r="K40" s="349"/>
      <c r="L40" s="350"/>
      <c r="M40" s="351"/>
      <c r="N40" s="258"/>
      <c r="O40" s="258"/>
    </row>
    <row r="41" spans="1:15" ht="14.15" customHeight="1" x14ac:dyDescent="0.3">
      <c r="A41" s="341" t="s">
        <v>120</v>
      </c>
      <c r="B41" s="385" t="s">
        <v>121</v>
      </c>
      <c r="C41" s="248" t="s">
        <v>85</v>
      </c>
      <c r="D41" s="1">
        <v>3</v>
      </c>
      <c r="E41" s="36">
        <v>2500</v>
      </c>
      <c r="F41" s="41">
        <v>0.2</v>
      </c>
      <c r="G41" s="348">
        <f>E41/(1-F41)</f>
        <v>3125</v>
      </c>
      <c r="H41" s="348">
        <f>(250+100)*4</f>
        <v>1400</v>
      </c>
      <c r="I41" s="83">
        <v>0.15</v>
      </c>
      <c r="J41" s="79">
        <f>H41*(1+I41)</f>
        <v>1609.9999999999998</v>
      </c>
      <c r="K41" s="349">
        <f>J41*D41</f>
        <v>4829.9999999999991</v>
      </c>
      <c r="L41" s="350">
        <f>G41+J41</f>
        <v>4735</v>
      </c>
      <c r="M41" s="351">
        <f>D41*L41</f>
        <v>14205</v>
      </c>
      <c r="N41" s="258"/>
      <c r="O41" s="258"/>
    </row>
    <row r="42" spans="1:15" ht="14.15" customHeight="1" x14ac:dyDescent="0.3">
      <c r="A42" s="341"/>
      <c r="B42" s="448"/>
      <c r="C42" s="88"/>
      <c r="D42" s="1"/>
      <c r="E42" s="36"/>
      <c r="F42" s="41"/>
      <c r="G42" s="348"/>
      <c r="H42" s="348"/>
      <c r="I42" s="79"/>
      <c r="J42" s="79"/>
      <c r="K42" s="349"/>
      <c r="L42" s="350"/>
      <c r="M42" s="351"/>
      <c r="N42" s="258"/>
      <c r="O42" s="258"/>
    </row>
    <row r="43" spans="1:15" ht="14.15" customHeight="1" x14ac:dyDescent="0.3">
      <c r="A43" s="341" t="s">
        <v>122</v>
      </c>
      <c r="B43" s="385" t="s">
        <v>123</v>
      </c>
      <c r="C43" s="248" t="s">
        <v>85</v>
      </c>
      <c r="D43" s="1">
        <f>6 + N("Isolator on each inverter in and out") + 10 + N("For labs")</f>
        <v>16</v>
      </c>
      <c r="E43" s="36">
        <v>1800</v>
      </c>
      <c r="F43" s="41">
        <v>0.2</v>
      </c>
      <c r="G43" s="348">
        <f>E43/(1-F43)</f>
        <v>2250</v>
      </c>
      <c r="H43" s="348">
        <f>(250+100)*4</f>
        <v>1400</v>
      </c>
      <c r="I43" s="83">
        <v>0.15</v>
      </c>
      <c r="J43" s="79">
        <f>H43*(1+I43)</f>
        <v>1609.9999999999998</v>
      </c>
      <c r="K43" s="349">
        <f>J43*D43</f>
        <v>25759.999999999996</v>
      </c>
      <c r="L43" s="350">
        <f>G43+J43</f>
        <v>3860</v>
      </c>
      <c r="M43" s="351">
        <f>D43*L43</f>
        <v>61760</v>
      </c>
      <c r="N43" s="258"/>
      <c r="O43" s="258"/>
    </row>
    <row r="44" spans="1:15" ht="14.15" customHeight="1" x14ac:dyDescent="0.3">
      <c r="A44" s="341"/>
      <c r="B44" s="385"/>
      <c r="C44" s="248"/>
      <c r="D44" s="1"/>
      <c r="E44" s="36"/>
      <c r="F44" s="41"/>
      <c r="G44" s="348"/>
      <c r="H44" s="348"/>
      <c r="I44" s="79"/>
      <c r="J44" s="79"/>
      <c r="K44" s="349"/>
      <c r="L44" s="350"/>
      <c r="M44" s="351"/>
      <c r="N44" s="258"/>
      <c r="O44" s="258"/>
    </row>
    <row r="45" spans="1:15" ht="14.15" customHeight="1" x14ac:dyDescent="0.3">
      <c r="A45" s="341" t="s">
        <v>124</v>
      </c>
      <c r="B45" s="385" t="s">
        <v>125</v>
      </c>
      <c r="C45" s="248" t="s">
        <v>85</v>
      </c>
      <c r="D45" s="1">
        <v>10</v>
      </c>
      <c r="E45" s="36">
        <f>550*1.2</f>
        <v>660</v>
      </c>
      <c r="F45" s="41">
        <v>0.2</v>
      </c>
      <c r="G45" s="348">
        <f>E45/(1-F45)</f>
        <v>825</v>
      </c>
      <c r="H45" s="348">
        <f>(250+100)*4</f>
        <v>1400</v>
      </c>
      <c r="I45" s="83">
        <v>0.15</v>
      </c>
      <c r="J45" s="79">
        <f>H45*(1+I45)</f>
        <v>1609.9999999999998</v>
      </c>
      <c r="K45" s="349">
        <f>J45*D45</f>
        <v>16099.999999999998</v>
      </c>
      <c r="L45" s="350">
        <f>G45+J45</f>
        <v>2435</v>
      </c>
      <c r="M45" s="351">
        <f>D45*L45</f>
        <v>24350</v>
      </c>
      <c r="N45" s="258"/>
      <c r="O45" s="258"/>
    </row>
    <row r="46" spans="1:15" ht="14.15" customHeight="1" x14ac:dyDescent="0.3">
      <c r="A46" s="341"/>
      <c r="B46" s="387"/>
      <c r="C46" s="88"/>
      <c r="D46" s="1"/>
      <c r="E46" s="36"/>
      <c r="F46" s="41"/>
      <c r="G46" s="348"/>
      <c r="H46" s="348"/>
      <c r="I46" s="79"/>
      <c r="J46" s="79"/>
      <c r="K46" s="349"/>
      <c r="L46" s="350"/>
      <c r="M46" s="351"/>
      <c r="N46" s="258"/>
      <c r="O46" s="258"/>
    </row>
    <row r="47" spans="1:15" ht="14.5" customHeight="1" thickBot="1" x14ac:dyDescent="0.35">
      <c r="A47" s="381" t="s">
        <v>126</v>
      </c>
      <c r="B47" s="388" t="s">
        <v>127</v>
      </c>
      <c r="C47" s="85" t="s">
        <v>85</v>
      </c>
      <c r="D47" s="50">
        <v>0</v>
      </c>
      <c r="E47" s="51">
        <f>550*1.2</f>
        <v>660</v>
      </c>
      <c r="F47" s="52">
        <v>0.2</v>
      </c>
      <c r="G47" s="376">
        <f>E47/(1-F47)</f>
        <v>825</v>
      </c>
      <c r="H47" s="376">
        <f>(250+100)*4</f>
        <v>1400</v>
      </c>
      <c r="I47" s="83">
        <v>0.15</v>
      </c>
      <c r="J47" s="79">
        <f>H47*(1+I47)</f>
        <v>1609.9999999999998</v>
      </c>
      <c r="K47" s="349">
        <f>J47*D47</f>
        <v>0</v>
      </c>
      <c r="L47" s="350">
        <f>G47+J47</f>
        <v>2435</v>
      </c>
      <c r="M47" s="378">
        <f>D47*L47</f>
        <v>0</v>
      </c>
      <c r="N47" s="258"/>
      <c r="O47" s="258"/>
    </row>
    <row r="48" spans="1:15" ht="14.5" customHeight="1" thickBot="1" x14ac:dyDescent="0.35">
      <c r="A48" s="354"/>
      <c r="B48" s="441"/>
      <c r="C48" s="89"/>
      <c r="D48" s="72"/>
      <c r="E48" s="73"/>
      <c r="F48" s="74"/>
      <c r="G48" s="356"/>
      <c r="H48" s="356"/>
      <c r="I48" s="73"/>
      <c r="J48" s="73"/>
      <c r="K48" s="357"/>
      <c r="L48" s="358"/>
      <c r="M48" s="358"/>
      <c r="N48" s="258"/>
      <c r="O48" s="258"/>
    </row>
    <row r="49" spans="1:15" ht="16.5" customHeight="1" x14ac:dyDescent="0.3">
      <c r="A49" s="359">
        <v>2.9</v>
      </c>
      <c r="B49" s="367"/>
      <c r="C49" s="55"/>
      <c r="D49" s="58" t="s">
        <v>128</v>
      </c>
      <c r="E49" s="56"/>
      <c r="F49" s="57"/>
      <c r="G49" s="361"/>
      <c r="H49" s="361"/>
      <c r="I49" s="56"/>
      <c r="J49" s="56"/>
      <c r="K49" s="362"/>
      <c r="L49" s="363"/>
      <c r="M49" s="363"/>
      <c r="N49" s="258"/>
      <c r="O49" s="258"/>
    </row>
    <row r="50" spans="1:15" ht="16.5" customHeight="1" x14ac:dyDescent="0.3">
      <c r="A50" s="341"/>
      <c r="B50" s="342"/>
      <c r="C50" s="248"/>
      <c r="D50" s="1"/>
      <c r="E50" s="36"/>
      <c r="F50" s="41"/>
      <c r="G50" s="348"/>
      <c r="H50" s="348"/>
      <c r="I50" s="79"/>
      <c r="J50" s="79"/>
      <c r="K50" s="349"/>
      <c r="L50" s="350"/>
      <c r="M50" s="351"/>
      <c r="N50" s="258"/>
      <c r="O50" s="258"/>
    </row>
    <row r="51" spans="1:15" ht="14.15" customHeight="1" x14ac:dyDescent="0.3">
      <c r="A51" s="341" t="s">
        <v>129</v>
      </c>
      <c r="B51" s="385" t="s">
        <v>130</v>
      </c>
      <c r="C51" s="248" t="s">
        <v>85</v>
      </c>
      <c r="D51" s="1">
        <v>10</v>
      </c>
      <c r="E51" s="36">
        <v>2500</v>
      </c>
      <c r="F51" s="41">
        <v>0.2</v>
      </c>
      <c r="G51" s="348">
        <f>E51/(1-F51)</f>
        <v>3125</v>
      </c>
      <c r="H51" s="348">
        <f>250*1</f>
        <v>250</v>
      </c>
      <c r="I51" s="83">
        <v>0.15</v>
      </c>
      <c r="J51" s="79">
        <f>H51*(1+I51)</f>
        <v>287.5</v>
      </c>
      <c r="K51" s="349">
        <f>J51*D51</f>
        <v>2875</v>
      </c>
      <c r="L51" s="350">
        <f>G51+J51</f>
        <v>3412.5</v>
      </c>
      <c r="M51" s="351">
        <f>D51*L51</f>
        <v>34125</v>
      </c>
      <c r="N51" s="258"/>
      <c r="O51" s="258"/>
    </row>
    <row r="52" spans="1:15" ht="14.15" customHeight="1" x14ac:dyDescent="0.3">
      <c r="A52" s="341"/>
      <c r="B52" s="385"/>
      <c r="C52" s="248"/>
      <c r="D52" s="1"/>
      <c r="E52" s="36"/>
      <c r="F52" s="41"/>
      <c r="G52" s="348"/>
      <c r="H52" s="348"/>
      <c r="I52" s="79"/>
      <c r="J52" s="79"/>
      <c r="K52" s="349"/>
      <c r="L52" s="350"/>
      <c r="M52" s="351"/>
      <c r="N52" s="258"/>
      <c r="O52" s="258"/>
    </row>
    <row r="53" spans="1:15" ht="14.15" customHeight="1" x14ac:dyDescent="0.3">
      <c r="A53" s="341" t="s">
        <v>131</v>
      </c>
      <c r="B53" s="385" t="s">
        <v>132</v>
      </c>
      <c r="C53" s="248" t="s">
        <v>85</v>
      </c>
      <c r="D53" s="1">
        <v>16</v>
      </c>
      <c r="E53" s="36">
        <v>5729</v>
      </c>
      <c r="F53" s="41">
        <v>0.2</v>
      </c>
      <c r="G53" s="348">
        <f>E53/(1-F53)</f>
        <v>7161.25</v>
      </c>
      <c r="H53" s="348">
        <v>250</v>
      </c>
      <c r="I53" s="83">
        <v>0.15</v>
      </c>
      <c r="J53" s="79">
        <f>H53*(1+I53)</f>
        <v>287.5</v>
      </c>
      <c r="K53" s="349">
        <f>J53*D53</f>
        <v>4600</v>
      </c>
      <c r="L53" s="350">
        <f>G53+J53</f>
        <v>7448.75</v>
      </c>
      <c r="M53" s="351">
        <f>D53*L53</f>
        <v>119180</v>
      </c>
      <c r="N53" s="258"/>
      <c r="O53" s="258"/>
    </row>
    <row r="54" spans="1:15" ht="14.15" customHeight="1" x14ac:dyDescent="0.3">
      <c r="A54" s="341"/>
      <c r="B54" s="387"/>
      <c r="C54" s="88"/>
      <c r="D54" s="1"/>
      <c r="E54" s="36"/>
      <c r="F54" s="41"/>
      <c r="G54" s="348"/>
      <c r="H54" s="348"/>
      <c r="I54" s="79"/>
      <c r="J54" s="79"/>
      <c r="K54" s="349"/>
      <c r="L54" s="350"/>
      <c r="M54" s="351"/>
      <c r="N54" s="258"/>
      <c r="O54" s="258"/>
    </row>
    <row r="55" spans="1:15" ht="14.15" customHeight="1" x14ac:dyDescent="0.3">
      <c r="A55" s="341" t="s">
        <v>133</v>
      </c>
      <c r="B55" s="387" t="s">
        <v>134</v>
      </c>
      <c r="C55" s="248" t="s">
        <v>85</v>
      </c>
      <c r="D55" s="1">
        <v>26</v>
      </c>
      <c r="E55" s="36">
        <f>5729</f>
        <v>5729</v>
      </c>
      <c r="F55" s="41">
        <v>0.2</v>
      </c>
      <c r="G55" s="348">
        <f>E55/(1-F55)</f>
        <v>7161.25</v>
      </c>
      <c r="H55" s="348">
        <v>250</v>
      </c>
      <c r="I55" s="83">
        <v>0.15</v>
      </c>
      <c r="J55" s="79">
        <f>H55*(1+I55)</f>
        <v>287.5</v>
      </c>
      <c r="K55" s="349">
        <f>J55*D55</f>
        <v>7475</v>
      </c>
      <c r="L55" s="350">
        <f>G55+J55</f>
        <v>7448.75</v>
      </c>
      <c r="M55" s="351">
        <f>D55*L55</f>
        <v>193667.5</v>
      </c>
      <c r="N55" s="258"/>
      <c r="O55" s="258"/>
    </row>
    <row r="56" spans="1:15" ht="14.15" customHeight="1" x14ac:dyDescent="0.3">
      <c r="A56" s="341"/>
      <c r="B56" s="387"/>
      <c r="C56" s="248"/>
      <c r="D56" s="1"/>
      <c r="E56" s="36"/>
      <c r="F56" s="41"/>
      <c r="G56" s="348"/>
      <c r="H56" s="348"/>
      <c r="I56" s="83"/>
      <c r="J56" s="79"/>
      <c r="K56" s="349"/>
      <c r="L56" s="350"/>
      <c r="M56" s="351"/>
      <c r="N56" s="258"/>
      <c r="O56" s="258"/>
    </row>
    <row r="57" spans="1:15" ht="14.15" customHeight="1" x14ac:dyDescent="0.3">
      <c r="A57" s="341"/>
      <c r="B57" s="385" t="s">
        <v>425</v>
      </c>
      <c r="C57" s="248" t="s">
        <v>85</v>
      </c>
      <c r="D57" s="1">
        <v>3</v>
      </c>
      <c r="E57" s="36">
        <f>40000*1.2</f>
        <v>48000</v>
      </c>
      <c r="F57" s="41">
        <v>0.2</v>
      </c>
      <c r="G57" s="348">
        <f>E57/(1-F57)</f>
        <v>60000</v>
      </c>
      <c r="H57" s="348">
        <v>250</v>
      </c>
      <c r="I57" s="83">
        <v>0.15</v>
      </c>
      <c r="J57" s="79">
        <f>H57*(1+I57)</f>
        <v>287.5</v>
      </c>
      <c r="K57" s="349">
        <f>J57*D57</f>
        <v>862.5</v>
      </c>
      <c r="L57" s="350">
        <f>G57+J57</f>
        <v>60287.5</v>
      </c>
      <c r="M57" s="351">
        <f>D57*L57</f>
        <v>180862.5</v>
      </c>
      <c r="N57" s="258"/>
      <c r="O57" s="258"/>
    </row>
    <row r="58" spans="1:15" ht="14.15" customHeight="1" x14ac:dyDescent="0.3">
      <c r="A58" s="341"/>
      <c r="B58" s="387"/>
      <c r="C58" s="87"/>
      <c r="D58" s="1"/>
      <c r="E58" s="36"/>
      <c r="F58" s="41"/>
      <c r="G58" s="348"/>
      <c r="H58" s="348"/>
      <c r="I58" s="79"/>
      <c r="J58" s="79"/>
      <c r="K58" s="349"/>
      <c r="L58" s="350"/>
      <c r="M58" s="351"/>
      <c r="N58" s="258"/>
      <c r="O58" s="258"/>
    </row>
    <row r="59" spans="1:15" ht="14.15" customHeight="1" x14ac:dyDescent="0.3">
      <c r="A59" s="341"/>
      <c r="B59" s="385" t="s">
        <v>426</v>
      </c>
      <c r="C59" s="87" t="s">
        <v>427</v>
      </c>
      <c r="D59" s="1">
        <v>1</v>
      </c>
      <c r="E59" s="36">
        <v>50000</v>
      </c>
      <c r="F59" s="41">
        <v>0.2</v>
      </c>
      <c r="G59" s="348">
        <f>E59/(1-F59)</f>
        <v>62500</v>
      </c>
      <c r="H59" s="348">
        <v>250</v>
      </c>
      <c r="I59" s="83">
        <v>0.15</v>
      </c>
      <c r="J59" s="79">
        <f>H59*(1+I59)</f>
        <v>287.5</v>
      </c>
      <c r="K59" s="349">
        <f>J59*D59</f>
        <v>287.5</v>
      </c>
      <c r="L59" s="350">
        <f>G59+J59</f>
        <v>62787.5</v>
      </c>
      <c r="M59" s="351">
        <f>D59*L59</f>
        <v>62787.5</v>
      </c>
      <c r="N59" s="258"/>
      <c r="O59" s="258"/>
    </row>
    <row r="60" spans="1:15" ht="14.15" customHeight="1" x14ac:dyDescent="0.3">
      <c r="A60" s="341"/>
      <c r="B60" s="387"/>
      <c r="C60" s="87"/>
      <c r="D60" s="1"/>
      <c r="E60" s="36"/>
      <c r="F60" s="41"/>
      <c r="G60" s="348"/>
      <c r="H60" s="348"/>
      <c r="I60" s="79"/>
      <c r="J60" s="79"/>
      <c r="K60" s="349"/>
      <c r="L60" s="350"/>
      <c r="M60" s="351"/>
      <c r="N60" s="258"/>
      <c r="O60" s="258"/>
    </row>
    <row r="61" spans="1:15" ht="28" customHeight="1" x14ac:dyDescent="0.3">
      <c r="A61" s="341" t="s">
        <v>135</v>
      </c>
      <c r="B61" s="385" t="s">
        <v>136</v>
      </c>
      <c r="C61" s="248" t="s">
        <v>85</v>
      </c>
      <c r="D61" s="1">
        <v>3</v>
      </c>
      <c r="E61" s="36">
        <v>350</v>
      </c>
      <c r="F61" s="41">
        <v>0.2</v>
      </c>
      <c r="G61" s="348">
        <f>E61/(1-F61)</f>
        <v>437.5</v>
      </c>
      <c r="H61" s="348">
        <v>250</v>
      </c>
      <c r="I61" s="83">
        <v>0.15</v>
      </c>
      <c r="J61" s="79">
        <f>H61*(1+I61)</f>
        <v>287.5</v>
      </c>
      <c r="K61" s="349">
        <f>J61*D61</f>
        <v>862.5</v>
      </c>
      <c r="L61" s="350">
        <f>G61+J61</f>
        <v>725</v>
      </c>
      <c r="M61" s="351">
        <f>D61*L61</f>
        <v>2175</v>
      </c>
      <c r="N61" s="258"/>
      <c r="O61" s="258"/>
    </row>
    <row r="62" spans="1:15" ht="14.15" customHeight="1" x14ac:dyDescent="0.3">
      <c r="A62" s="341"/>
      <c r="B62" s="387"/>
      <c r="C62" s="88"/>
      <c r="D62" s="1"/>
      <c r="E62" s="36"/>
      <c r="F62" s="41"/>
      <c r="G62" s="348"/>
      <c r="H62" s="348"/>
      <c r="I62" s="79"/>
      <c r="J62" s="79"/>
      <c r="K62" s="349"/>
      <c r="L62" s="350"/>
      <c r="M62" s="351"/>
      <c r="N62" s="258"/>
      <c r="O62" s="258"/>
    </row>
    <row r="63" spans="1:15" ht="14.15" customHeight="1" x14ac:dyDescent="0.3">
      <c r="A63" s="341" t="s">
        <v>137</v>
      </c>
      <c r="B63" s="385" t="s">
        <v>138</v>
      </c>
      <c r="C63" s="248" t="s">
        <v>108</v>
      </c>
      <c r="D63" s="1">
        <v>20</v>
      </c>
      <c r="E63" s="36">
        <f>35</f>
        <v>35</v>
      </c>
      <c r="F63" s="41">
        <v>0.2</v>
      </c>
      <c r="G63" s="348">
        <f>E63/(1-F63)</f>
        <v>43.75</v>
      </c>
      <c r="H63" s="348">
        <f>(65*3)</f>
        <v>195</v>
      </c>
      <c r="I63" s="83">
        <v>0.15</v>
      </c>
      <c r="J63" s="79">
        <f>H63*(1+I63)</f>
        <v>224.24999999999997</v>
      </c>
      <c r="K63" s="349">
        <f>J63*D63</f>
        <v>4484.9999999999991</v>
      </c>
      <c r="L63" s="350">
        <f>G63+J63</f>
        <v>268</v>
      </c>
      <c r="M63" s="351">
        <f>D63*L63</f>
        <v>5360</v>
      </c>
      <c r="N63" s="258"/>
      <c r="O63" s="258"/>
    </row>
    <row r="64" spans="1:15" ht="14.15" customHeight="1" x14ac:dyDescent="0.3">
      <c r="A64" s="341"/>
      <c r="B64" s="387"/>
      <c r="C64" s="87"/>
      <c r="D64" s="1"/>
      <c r="E64" s="36"/>
      <c r="F64" s="41"/>
      <c r="G64" s="348"/>
      <c r="H64" s="348"/>
      <c r="I64" s="79"/>
      <c r="J64" s="79"/>
      <c r="K64" s="349"/>
      <c r="L64" s="350"/>
      <c r="M64" s="351"/>
      <c r="N64" s="258"/>
      <c r="O64" s="258"/>
    </row>
    <row r="65" spans="1:15" ht="14.5" customHeight="1" thickBot="1" x14ac:dyDescent="0.35">
      <c r="A65" s="341" t="s">
        <v>139</v>
      </c>
      <c r="B65" s="385" t="s">
        <v>140</v>
      </c>
      <c r="C65" s="248" t="s">
        <v>42</v>
      </c>
      <c r="D65" s="1">
        <v>1</v>
      </c>
      <c r="E65" s="36">
        <v>1</v>
      </c>
      <c r="F65" s="41">
        <v>0.2</v>
      </c>
      <c r="G65" s="348">
        <f>E65/(1-F65)</f>
        <v>1.25</v>
      </c>
      <c r="H65" s="348">
        <f>2500*3</f>
        <v>7500</v>
      </c>
      <c r="I65" s="83">
        <v>0.15</v>
      </c>
      <c r="J65" s="79">
        <f>H65*(1+I65)</f>
        <v>8625</v>
      </c>
      <c r="K65" s="349">
        <f>J65*D65</f>
        <v>8625</v>
      </c>
      <c r="L65" s="350">
        <f>G65+J65</f>
        <v>8626.25</v>
      </c>
      <c r="M65" s="351">
        <f>D65*L65</f>
        <v>8626.25</v>
      </c>
      <c r="N65" s="258"/>
      <c r="O65" s="258"/>
    </row>
    <row r="66" spans="1:15" ht="14.5" customHeight="1" thickBot="1" x14ac:dyDescent="0.35">
      <c r="A66" s="354"/>
      <c r="B66" s="441"/>
      <c r="C66" s="89"/>
      <c r="D66" s="72"/>
      <c r="E66" s="73"/>
      <c r="F66" s="74"/>
      <c r="G66" s="356"/>
      <c r="H66" s="356"/>
      <c r="I66" s="73"/>
      <c r="J66" s="73"/>
      <c r="K66" s="357"/>
      <c r="L66" s="358"/>
      <c r="M66" s="358"/>
      <c r="N66" s="258"/>
      <c r="O66" s="258"/>
    </row>
    <row r="67" spans="1:15" ht="14.15" customHeight="1" x14ac:dyDescent="0.3">
      <c r="A67" s="389">
        <v>2.1</v>
      </c>
      <c r="B67" s="390"/>
      <c r="C67" s="90"/>
      <c r="D67" s="65" t="s">
        <v>141</v>
      </c>
      <c r="E67" s="53"/>
      <c r="F67" s="54"/>
      <c r="G67" s="391"/>
      <c r="H67" s="391"/>
      <c r="I67" s="53"/>
      <c r="J67" s="53"/>
      <c r="K67" s="392"/>
      <c r="L67" s="393"/>
      <c r="M67" s="393"/>
      <c r="N67" s="258"/>
      <c r="O67" s="258"/>
    </row>
    <row r="68" spans="1:15" ht="28" customHeight="1" x14ac:dyDescent="0.3">
      <c r="A68" s="370" t="s">
        <v>142</v>
      </c>
      <c r="B68" s="444" t="s">
        <v>143</v>
      </c>
      <c r="C68" s="7" t="s">
        <v>85</v>
      </c>
      <c r="D68" s="7">
        <v>3</v>
      </c>
      <c r="E68" s="37">
        <v>10000</v>
      </c>
      <c r="F68" s="41">
        <v>0.16</v>
      </c>
      <c r="G68" s="348">
        <f>E68/(1-F68)</f>
        <v>11904.761904761905</v>
      </c>
      <c r="H68" s="371">
        <v>200</v>
      </c>
      <c r="I68" s="83">
        <v>0.15</v>
      </c>
      <c r="J68" s="79">
        <f>H68*(1+I68)</f>
        <v>229.99999999999997</v>
      </c>
      <c r="K68" s="349">
        <f>J68*D68</f>
        <v>689.99999999999989</v>
      </c>
      <c r="L68" s="350">
        <f>G68+J68</f>
        <v>12134.761904761905</v>
      </c>
      <c r="M68" s="351">
        <f>D68*L68</f>
        <v>36404.28571428571</v>
      </c>
      <c r="N68" s="258"/>
      <c r="O68" s="258"/>
    </row>
    <row r="69" spans="1:15" ht="14.15" customHeight="1" x14ac:dyDescent="0.3">
      <c r="A69" s="394"/>
      <c r="B69" s="395"/>
      <c r="C69" s="248"/>
      <c r="D69" s="248"/>
      <c r="E69" s="36"/>
      <c r="F69" s="41"/>
      <c r="G69" s="348"/>
      <c r="H69" s="348"/>
      <c r="I69" s="79"/>
      <c r="J69" s="79"/>
      <c r="K69" s="349"/>
      <c r="L69" s="350"/>
      <c r="M69" s="351"/>
      <c r="N69" s="258"/>
      <c r="O69" s="258"/>
    </row>
    <row r="70" spans="1:15" ht="28.5" customHeight="1" thickBot="1" x14ac:dyDescent="0.35">
      <c r="A70" s="396" t="s">
        <v>144</v>
      </c>
      <c r="B70" s="446" t="s">
        <v>145</v>
      </c>
      <c r="C70" s="68" t="s">
        <v>85</v>
      </c>
      <c r="D70" s="68">
        <v>3</v>
      </c>
      <c r="E70" s="69">
        <v>7500</v>
      </c>
      <c r="F70" s="52">
        <v>0.16</v>
      </c>
      <c r="G70" s="376">
        <f>E70/(1-F70)</f>
        <v>8928.5714285714294</v>
      </c>
      <c r="H70" s="377">
        <v>200</v>
      </c>
      <c r="I70" s="83">
        <v>0.15</v>
      </c>
      <c r="J70" s="79">
        <f>H70*(1+I70)</f>
        <v>229.99999999999997</v>
      </c>
      <c r="K70" s="382">
        <f>J70*D70</f>
        <v>689.99999999999989</v>
      </c>
      <c r="L70" s="350">
        <f>G70+J70</f>
        <v>9158.5714285714294</v>
      </c>
      <c r="M70" s="378">
        <f>D70*L70</f>
        <v>27475.71428571429</v>
      </c>
      <c r="N70" s="258"/>
      <c r="O70" s="258"/>
    </row>
    <row r="71" spans="1:15" ht="14.5" customHeight="1" thickBot="1" x14ac:dyDescent="0.35">
      <c r="A71" s="397"/>
      <c r="B71" s="449"/>
      <c r="C71" s="89"/>
      <c r="D71" s="72"/>
      <c r="E71" s="73"/>
      <c r="F71" s="74"/>
      <c r="G71" s="356"/>
      <c r="H71" s="356"/>
      <c r="I71" s="73"/>
      <c r="J71" s="73"/>
      <c r="K71" s="357"/>
      <c r="L71" s="358"/>
      <c r="M71" s="358"/>
      <c r="N71" s="258"/>
      <c r="O71" s="258"/>
    </row>
    <row r="72" spans="1:15" ht="14.15" customHeight="1" x14ac:dyDescent="0.3">
      <c r="A72" s="359">
        <v>2.11</v>
      </c>
      <c r="B72" s="450"/>
      <c r="C72" s="91"/>
      <c r="D72" s="58" t="s">
        <v>146</v>
      </c>
      <c r="E72" s="56"/>
      <c r="F72" s="57"/>
      <c r="G72" s="361"/>
      <c r="H72" s="361"/>
      <c r="I72" s="56"/>
      <c r="J72" s="56"/>
      <c r="K72" s="362"/>
      <c r="L72" s="363"/>
      <c r="M72" s="363"/>
      <c r="N72" s="258"/>
      <c r="O72" s="258"/>
    </row>
    <row r="73" spans="1:15" ht="14.15" customHeight="1" x14ac:dyDescent="0.3">
      <c r="A73" s="341"/>
      <c r="B73" s="444"/>
      <c r="C73" s="92"/>
      <c r="D73" s="1"/>
      <c r="E73" s="36"/>
      <c r="F73" s="41"/>
      <c r="G73" s="348"/>
      <c r="H73" s="348"/>
      <c r="I73" s="79"/>
      <c r="J73" s="79"/>
      <c r="K73" s="349"/>
      <c r="L73" s="350"/>
      <c r="M73" s="351"/>
      <c r="N73" s="258"/>
      <c r="O73" s="258"/>
    </row>
    <row r="74" spans="1:15" ht="14.15" customHeight="1" x14ac:dyDescent="0.3">
      <c r="A74" s="341"/>
      <c r="B74" s="443" t="s">
        <v>147</v>
      </c>
      <c r="C74" s="88"/>
      <c r="D74" s="1"/>
      <c r="E74" s="36"/>
      <c r="F74" s="41"/>
      <c r="G74" s="348"/>
      <c r="H74" s="348"/>
      <c r="I74" s="79"/>
      <c r="J74" s="79"/>
      <c r="K74" s="349"/>
      <c r="L74" s="350"/>
      <c r="M74" s="351"/>
      <c r="N74" s="258"/>
      <c r="O74" s="258"/>
    </row>
    <row r="75" spans="1:15" ht="14.15" customHeight="1" x14ac:dyDescent="0.3">
      <c r="A75" s="341"/>
      <c r="B75" s="448"/>
      <c r="C75" s="88"/>
      <c r="D75" s="1"/>
      <c r="E75" s="36"/>
      <c r="F75" s="41"/>
      <c r="G75" s="348"/>
      <c r="H75" s="348"/>
      <c r="I75" s="79"/>
      <c r="J75" s="79"/>
      <c r="K75" s="349"/>
      <c r="L75" s="350"/>
      <c r="M75" s="351"/>
      <c r="N75" s="258"/>
      <c r="O75" s="258"/>
    </row>
    <row r="76" spans="1:15" ht="42" customHeight="1" x14ac:dyDescent="0.3">
      <c r="A76" s="341"/>
      <c r="B76" s="448" t="s">
        <v>148</v>
      </c>
      <c r="C76" s="88"/>
      <c r="D76" s="248"/>
      <c r="E76" s="36"/>
      <c r="F76" s="41"/>
      <c r="G76" s="348"/>
      <c r="H76" s="348"/>
      <c r="I76" s="79"/>
      <c r="J76" s="79"/>
      <c r="K76" s="349"/>
      <c r="L76" s="350"/>
      <c r="M76" s="351"/>
      <c r="N76" s="258"/>
      <c r="O76" s="258"/>
    </row>
    <row r="77" spans="1:15" ht="14.15" customHeight="1" x14ac:dyDescent="0.3">
      <c r="A77" s="384"/>
      <c r="B77" s="443"/>
      <c r="C77" s="88"/>
      <c r="D77" s="1"/>
      <c r="E77" s="36"/>
      <c r="F77" s="41"/>
      <c r="G77" s="348"/>
      <c r="H77" s="400"/>
      <c r="I77" s="81"/>
      <c r="J77" s="81"/>
      <c r="K77" s="349"/>
      <c r="L77" s="350"/>
      <c r="M77" s="351"/>
      <c r="N77" s="258"/>
      <c r="O77" s="258"/>
    </row>
    <row r="78" spans="1:15" ht="14.15" customHeight="1" x14ac:dyDescent="0.3">
      <c r="A78" s="384"/>
      <c r="B78" s="443" t="s">
        <v>282</v>
      </c>
      <c r="C78" s="88" t="s">
        <v>108</v>
      </c>
      <c r="D78" s="1">
        <v>30</v>
      </c>
      <c r="E78" s="36">
        <v>1520</v>
      </c>
      <c r="F78" s="41">
        <v>0.25</v>
      </c>
      <c r="G78" s="348">
        <f t="shared" ref="G78:G84" si="0">E78/(1-F78)</f>
        <v>2026.6666666666667</v>
      </c>
      <c r="H78" s="348">
        <v>25</v>
      </c>
      <c r="I78" s="83">
        <v>0.15</v>
      </c>
      <c r="J78" s="79">
        <f t="shared" ref="J78:J84" si="1">H78*(1+I78)</f>
        <v>28.749999999999996</v>
      </c>
      <c r="K78" s="349">
        <f t="shared" ref="K78:K84" si="2">J78*D78</f>
        <v>862.49999999999989</v>
      </c>
      <c r="L78" s="350">
        <f t="shared" ref="L78:L84" si="3">G78+J78</f>
        <v>2055.4166666666665</v>
      </c>
      <c r="M78" s="351">
        <f t="shared" ref="M78:M84" si="4">D78*L78</f>
        <v>61662.499999999993</v>
      </c>
      <c r="N78" s="258"/>
      <c r="O78" s="258"/>
    </row>
    <row r="79" spans="1:15" ht="14.15" customHeight="1" x14ac:dyDescent="0.3">
      <c r="A79" s="341" t="s">
        <v>149</v>
      </c>
      <c r="B79" s="443" t="s">
        <v>150</v>
      </c>
      <c r="C79" s="88" t="s">
        <v>108</v>
      </c>
      <c r="D79" s="1">
        <v>0</v>
      </c>
      <c r="E79" s="36">
        <v>947.75</v>
      </c>
      <c r="F79" s="41">
        <v>0.25</v>
      </c>
      <c r="G79" s="348">
        <f t="shared" si="0"/>
        <v>1263.6666666666667</v>
      </c>
      <c r="H79" s="348">
        <v>25</v>
      </c>
      <c r="I79" s="83">
        <v>0.15</v>
      </c>
      <c r="J79" s="79">
        <f t="shared" si="1"/>
        <v>28.749999999999996</v>
      </c>
      <c r="K79" s="349">
        <f t="shared" si="2"/>
        <v>0</v>
      </c>
      <c r="L79" s="350">
        <f t="shared" si="3"/>
        <v>1292.4166666666667</v>
      </c>
      <c r="M79" s="351">
        <f t="shared" si="4"/>
        <v>0</v>
      </c>
      <c r="N79" s="258"/>
      <c r="O79" s="258"/>
    </row>
    <row r="80" spans="1:15" ht="14.15" customHeight="1" x14ac:dyDescent="0.3">
      <c r="A80" s="341" t="s">
        <v>151</v>
      </c>
      <c r="B80" s="443" t="s">
        <v>152</v>
      </c>
      <c r="C80" s="88" t="s">
        <v>108</v>
      </c>
      <c r="D80" s="1">
        <v>0</v>
      </c>
      <c r="E80" s="36">
        <v>686.12</v>
      </c>
      <c r="F80" s="41">
        <v>0.25</v>
      </c>
      <c r="G80" s="348">
        <f t="shared" si="0"/>
        <v>914.82666666666671</v>
      </c>
      <c r="H80" s="348">
        <v>25</v>
      </c>
      <c r="I80" s="83">
        <v>0.15</v>
      </c>
      <c r="J80" s="79">
        <f t="shared" si="1"/>
        <v>28.749999999999996</v>
      </c>
      <c r="K80" s="349">
        <f t="shared" si="2"/>
        <v>0</v>
      </c>
      <c r="L80" s="350">
        <f t="shared" si="3"/>
        <v>943.57666666666671</v>
      </c>
      <c r="M80" s="351">
        <f t="shared" si="4"/>
        <v>0</v>
      </c>
      <c r="N80" s="258"/>
      <c r="O80" s="258"/>
    </row>
    <row r="81" spans="1:15" ht="14.15" customHeight="1" x14ac:dyDescent="0.3">
      <c r="A81" s="341" t="s">
        <v>153</v>
      </c>
      <c r="B81" s="443" t="s">
        <v>154</v>
      </c>
      <c r="C81" s="88" t="s">
        <v>108</v>
      </c>
      <c r="D81" s="1">
        <v>30</v>
      </c>
      <c r="E81" s="36">
        <v>538.9</v>
      </c>
      <c r="F81" s="41">
        <v>0.25</v>
      </c>
      <c r="G81" s="348">
        <f t="shared" si="0"/>
        <v>718.5333333333333</v>
      </c>
      <c r="H81" s="348">
        <v>25</v>
      </c>
      <c r="I81" s="83">
        <v>0.15</v>
      </c>
      <c r="J81" s="79">
        <f t="shared" si="1"/>
        <v>28.749999999999996</v>
      </c>
      <c r="K81" s="349">
        <f t="shared" si="2"/>
        <v>862.49999999999989</v>
      </c>
      <c r="L81" s="350">
        <f t="shared" si="3"/>
        <v>747.2833333333333</v>
      </c>
      <c r="M81" s="351">
        <f t="shared" si="4"/>
        <v>22418.5</v>
      </c>
      <c r="N81" s="258"/>
      <c r="O81" s="258"/>
    </row>
    <row r="82" spans="1:15" ht="14.15" customHeight="1" x14ac:dyDescent="0.3">
      <c r="A82" s="341" t="s">
        <v>155</v>
      </c>
      <c r="B82" s="443" t="s">
        <v>156</v>
      </c>
      <c r="C82" s="87" t="s">
        <v>108</v>
      </c>
      <c r="D82" s="1">
        <v>0</v>
      </c>
      <c r="E82" s="36">
        <v>450</v>
      </c>
      <c r="F82" s="41">
        <v>0.25</v>
      </c>
      <c r="G82" s="348">
        <f t="shared" si="0"/>
        <v>600</v>
      </c>
      <c r="H82" s="348">
        <v>25</v>
      </c>
      <c r="I82" s="83">
        <v>0.15</v>
      </c>
      <c r="J82" s="79">
        <f t="shared" si="1"/>
        <v>28.749999999999996</v>
      </c>
      <c r="K82" s="349">
        <f t="shared" si="2"/>
        <v>0</v>
      </c>
      <c r="L82" s="350">
        <f t="shared" si="3"/>
        <v>628.75</v>
      </c>
      <c r="M82" s="351">
        <f t="shared" si="4"/>
        <v>0</v>
      </c>
      <c r="N82" s="258"/>
      <c r="O82" s="258"/>
    </row>
    <row r="83" spans="1:15" ht="14.15" customHeight="1" x14ac:dyDescent="0.3">
      <c r="A83" s="341" t="s">
        <v>157</v>
      </c>
      <c r="B83" s="443" t="s">
        <v>158</v>
      </c>
      <c r="C83" s="87" t="s">
        <v>108</v>
      </c>
      <c r="D83" s="1">
        <f>200 + N("sub Dbs are far apart and there are 7 that we know of")</f>
        <v>200</v>
      </c>
      <c r="E83" s="36">
        <v>380</v>
      </c>
      <c r="F83" s="41">
        <v>0.25</v>
      </c>
      <c r="G83" s="348">
        <f t="shared" si="0"/>
        <v>506.66666666666669</v>
      </c>
      <c r="H83" s="348">
        <v>25</v>
      </c>
      <c r="I83" s="83">
        <v>0.15</v>
      </c>
      <c r="J83" s="79">
        <f t="shared" si="1"/>
        <v>28.749999999999996</v>
      </c>
      <c r="K83" s="349">
        <f t="shared" si="2"/>
        <v>5749.9999999999991</v>
      </c>
      <c r="L83" s="350">
        <f t="shared" si="3"/>
        <v>535.41666666666663</v>
      </c>
      <c r="M83" s="351">
        <f t="shared" si="4"/>
        <v>107083.33333333333</v>
      </c>
      <c r="N83" s="258"/>
      <c r="O83" s="258"/>
    </row>
    <row r="84" spans="1:15" ht="14.5" customHeight="1" thickBot="1" x14ac:dyDescent="0.35">
      <c r="A84" s="381" t="s">
        <v>159</v>
      </c>
      <c r="B84" s="446" t="s">
        <v>160</v>
      </c>
      <c r="C84" s="86" t="s">
        <v>108</v>
      </c>
      <c r="D84" s="50">
        <v>0</v>
      </c>
      <c r="E84" s="51">
        <f>215</f>
        <v>215</v>
      </c>
      <c r="F84" s="52">
        <v>0.25</v>
      </c>
      <c r="G84" s="376">
        <f t="shared" si="0"/>
        <v>286.66666666666669</v>
      </c>
      <c r="H84" s="376">
        <v>25</v>
      </c>
      <c r="I84" s="83">
        <v>0.15</v>
      </c>
      <c r="J84" s="79">
        <f t="shared" si="1"/>
        <v>28.749999999999996</v>
      </c>
      <c r="K84" s="349">
        <f t="shared" si="2"/>
        <v>0</v>
      </c>
      <c r="L84" s="350">
        <f t="shared" si="3"/>
        <v>315.41666666666669</v>
      </c>
      <c r="M84" s="378">
        <f t="shared" si="4"/>
        <v>0</v>
      </c>
      <c r="N84" s="258"/>
      <c r="O84" s="258"/>
    </row>
    <row r="85" spans="1:15" ht="14.5" customHeight="1" thickBot="1" x14ac:dyDescent="0.35">
      <c r="A85" s="397"/>
      <c r="B85" s="449"/>
      <c r="C85" s="89"/>
      <c r="D85" s="72"/>
      <c r="E85" s="73"/>
      <c r="F85" s="74"/>
      <c r="G85" s="356"/>
      <c r="H85" s="356"/>
      <c r="I85" s="73"/>
      <c r="J85" s="73"/>
      <c r="K85" s="357"/>
      <c r="L85" s="358"/>
      <c r="M85" s="358"/>
      <c r="N85" s="258"/>
      <c r="O85" s="258"/>
    </row>
    <row r="86" spans="1:15" ht="14.15" customHeight="1" x14ac:dyDescent="0.3">
      <c r="A86" s="359">
        <v>2.12</v>
      </c>
      <c r="B86" s="450"/>
      <c r="C86" s="91"/>
      <c r="D86" s="58" t="s">
        <v>161</v>
      </c>
      <c r="E86" s="56"/>
      <c r="F86" s="57"/>
      <c r="G86" s="361"/>
      <c r="H86" s="361"/>
      <c r="I86" s="56"/>
      <c r="J86" s="56"/>
      <c r="K86" s="362"/>
      <c r="L86" s="363"/>
      <c r="M86" s="363"/>
      <c r="N86" s="258"/>
      <c r="O86" s="258"/>
    </row>
    <row r="87" spans="1:15" ht="14.15" customHeight="1" x14ac:dyDescent="0.3">
      <c r="A87" s="341"/>
      <c r="B87" s="444"/>
      <c r="C87" s="87"/>
      <c r="D87" s="1"/>
      <c r="E87" s="36"/>
      <c r="F87" s="41"/>
      <c r="G87" s="348"/>
      <c r="H87" s="348"/>
      <c r="I87" s="79"/>
      <c r="J87" s="79"/>
      <c r="K87" s="349"/>
      <c r="L87" s="350"/>
      <c r="M87" s="351"/>
      <c r="N87" s="258"/>
      <c r="O87" s="258"/>
    </row>
    <row r="88" spans="1:15" ht="14.15" customHeight="1" x14ac:dyDescent="0.3">
      <c r="A88" s="341" t="s">
        <v>162</v>
      </c>
      <c r="B88" s="443" t="s">
        <v>163</v>
      </c>
      <c r="C88" s="87" t="s">
        <v>108</v>
      </c>
      <c r="D88" s="1">
        <v>50</v>
      </c>
      <c r="E88" s="36">
        <v>109.45</v>
      </c>
      <c r="F88" s="41">
        <v>0.2</v>
      </c>
      <c r="G88" s="348">
        <f>E88/(1-F88)</f>
        <v>136.8125</v>
      </c>
      <c r="H88" s="348">
        <v>50</v>
      </c>
      <c r="I88" s="83">
        <v>0.15</v>
      </c>
      <c r="J88" s="79">
        <f>H88*(1+I88)</f>
        <v>57.499999999999993</v>
      </c>
      <c r="K88" s="349">
        <f>J88*D88</f>
        <v>2874.9999999999995</v>
      </c>
      <c r="L88" s="350">
        <f>G88+J88</f>
        <v>194.3125</v>
      </c>
      <c r="M88" s="351">
        <f>D88*L88</f>
        <v>9715.625</v>
      </c>
      <c r="N88" s="258"/>
      <c r="O88" s="258"/>
    </row>
    <row r="89" spans="1:15" ht="14.15" customHeight="1" x14ac:dyDescent="0.3">
      <c r="A89" s="341"/>
      <c r="B89" s="443" t="s">
        <v>164</v>
      </c>
      <c r="C89" s="87" t="s">
        <v>108</v>
      </c>
      <c r="D89" s="1">
        <v>50</v>
      </c>
      <c r="E89" s="36">
        <v>70.599999999999994</v>
      </c>
      <c r="F89" s="41">
        <v>0.2</v>
      </c>
      <c r="G89" s="348">
        <f>E89/(1-F89)</f>
        <v>88.249999999999986</v>
      </c>
      <c r="H89" s="348">
        <v>50</v>
      </c>
      <c r="I89" s="83">
        <v>0.15</v>
      </c>
      <c r="J89" s="79">
        <f>H89*(1+I89)</f>
        <v>57.499999999999993</v>
      </c>
      <c r="K89" s="349">
        <f>J89*D89</f>
        <v>2874.9999999999995</v>
      </c>
      <c r="L89" s="350">
        <f>G89+J89</f>
        <v>145.74999999999997</v>
      </c>
      <c r="M89" s="351">
        <f>D89*L89</f>
        <v>7287.4999999999982</v>
      </c>
      <c r="N89" s="258"/>
      <c r="O89" s="258"/>
    </row>
    <row r="90" spans="1:15" ht="14.5" customHeight="1" thickBot="1" x14ac:dyDescent="0.35">
      <c r="A90" s="381"/>
      <c r="B90" s="446" t="s">
        <v>165</v>
      </c>
      <c r="C90" s="86" t="s">
        <v>108</v>
      </c>
      <c r="D90" s="50">
        <f>42 +N("7 DB's, 3 cables each, 2m per db")</f>
        <v>42</v>
      </c>
      <c r="E90" s="51">
        <v>22.91</v>
      </c>
      <c r="F90" s="52">
        <v>0.2</v>
      </c>
      <c r="G90" s="376">
        <f>E90/(1-F90)</f>
        <v>28.637499999999999</v>
      </c>
      <c r="H90" s="376">
        <v>50</v>
      </c>
      <c r="I90" s="83">
        <v>0.15</v>
      </c>
      <c r="J90" s="79">
        <f>H90*(1+I90)</f>
        <v>57.499999999999993</v>
      </c>
      <c r="K90" s="349">
        <f>J90*D90</f>
        <v>2414.9999999999995</v>
      </c>
      <c r="L90" s="350">
        <f>G90+J90</f>
        <v>86.137499999999989</v>
      </c>
      <c r="M90" s="378">
        <f>D90*L90</f>
        <v>3617.7749999999996</v>
      </c>
      <c r="N90" s="258"/>
      <c r="O90" s="258"/>
    </row>
    <row r="91" spans="1:15" ht="14.5" customHeight="1" thickBot="1" x14ac:dyDescent="0.35">
      <c r="A91" s="397"/>
      <c r="B91" s="449"/>
      <c r="C91" s="89"/>
      <c r="D91" s="72"/>
      <c r="E91" s="73"/>
      <c r="F91" s="74"/>
      <c r="G91" s="356"/>
      <c r="H91" s="356"/>
      <c r="I91" s="73"/>
      <c r="J91" s="73"/>
      <c r="K91" s="357"/>
      <c r="L91" s="358"/>
      <c r="M91" s="358"/>
      <c r="N91" s="258"/>
      <c r="O91" s="258"/>
    </row>
    <row r="92" spans="1:15" ht="14.15" customHeight="1" x14ac:dyDescent="0.3">
      <c r="A92" s="359">
        <v>2.13</v>
      </c>
      <c r="B92" s="450"/>
      <c r="C92" s="91"/>
      <c r="D92" s="58" t="s">
        <v>166</v>
      </c>
      <c r="E92" s="56"/>
      <c r="F92" s="57"/>
      <c r="G92" s="361"/>
      <c r="H92" s="361"/>
      <c r="I92" s="56"/>
      <c r="J92" s="56"/>
      <c r="K92" s="362"/>
      <c r="L92" s="363"/>
      <c r="M92" s="363"/>
      <c r="N92" s="258"/>
      <c r="O92" s="258"/>
    </row>
    <row r="93" spans="1:15" ht="14.15" customHeight="1" x14ac:dyDescent="0.3">
      <c r="A93" s="341"/>
      <c r="B93" s="444"/>
      <c r="C93" s="87"/>
      <c r="D93" s="1"/>
      <c r="E93" s="36"/>
      <c r="F93" s="41"/>
      <c r="G93" s="348"/>
      <c r="H93" s="348"/>
      <c r="I93" s="79"/>
      <c r="J93" s="79"/>
      <c r="K93" s="349"/>
      <c r="L93" s="350"/>
      <c r="M93" s="351"/>
      <c r="N93" s="258"/>
      <c r="O93" s="258"/>
    </row>
    <row r="94" spans="1:15" ht="14.15" customHeight="1" x14ac:dyDescent="0.3">
      <c r="A94" s="341" t="s">
        <v>167</v>
      </c>
      <c r="B94" s="443" t="s">
        <v>168</v>
      </c>
      <c r="C94" s="87" t="s">
        <v>108</v>
      </c>
      <c r="D94" s="1">
        <v>20</v>
      </c>
      <c r="E94" s="36">
        <v>25</v>
      </c>
      <c r="F94" s="41">
        <v>0.2</v>
      </c>
      <c r="G94" s="348">
        <f>E94/(1-F94)</f>
        <v>31.25</v>
      </c>
      <c r="H94" s="348"/>
      <c r="I94" s="83">
        <v>0.15</v>
      </c>
      <c r="J94" s="79">
        <f>H94*(1+I94)</f>
        <v>0</v>
      </c>
      <c r="K94" s="349">
        <f>J94*D94</f>
        <v>0</v>
      </c>
      <c r="L94" s="350">
        <f>G94+J94</f>
        <v>31.25</v>
      </c>
      <c r="M94" s="351">
        <f>D94*L94</f>
        <v>625</v>
      </c>
      <c r="N94" s="258"/>
      <c r="O94" s="258"/>
    </row>
    <row r="95" spans="1:15" ht="14.15" customHeight="1" x14ac:dyDescent="0.3">
      <c r="A95" s="341" t="s">
        <v>169</v>
      </c>
      <c r="B95" s="443" t="s">
        <v>170</v>
      </c>
      <c r="C95" s="87" t="s">
        <v>108</v>
      </c>
      <c r="D95" s="1">
        <v>20</v>
      </c>
      <c r="E95" s="36">
        <v>33</v>
      </c>
      <c r="F95" s="41">
        <v>0.2</v>
      </c>
      <c r="G95" s="348">
        <f>E95/(1-F95)</f>
        <v>41.25</v>
      </c>
      <c r="H95" s="348"/>
      <c r="I95" s="83">
        <v>0.15</v>
      </c>
      <c r="J95" s="79">
        <f>H95*(1+I95)</f>
        <v>0</v>
      </c>
      <c r="K95" s="349">
        <f>J95*D95</f>
        <v>0</v>
      </c>
      <c r="L95" s="350">
        <f>G95+J95</f>
        <v>41.25</v>
      </c>
      <c r="M95" s="351">
        <f>D95*L95</f>
        <v>825</v>
      </c>
      <c r="N95" s="258"/>
      <c r="O95" s="258"/>
    </row>
    <row r="96" spans="1:15" ht="14.5" customHeight="1" thickBot="1" x14ac:dyDescent="0.35">
      <c r="A96" s="341" t="s">
        <v>171</v>
      </c>
      <c r="B96" s="451" t="s">
        <v>172</v>
      </c>
      <c r="C96" s="29" t="s">
        <v>108</v>
      </c>
      <c r="D96" s="1">
        <v>0</v>
      </c>
      <c r="E96" s="36">
        <v>37</v>
      </c>
      <c r="F96" s="41">
        <v>0.2</v>
      </c>
      <c r="G96" s="348">
        <f>E96/(1-F96)</f>
        <v>46.25</v>
      </c>
      <c r="H96" s="348"/>
      <c r="I96" s="83">
        <v>0.15</v>
      </c>
      <c r="J96" s="79">
        <f>H96*(1+I96)</f>
        <v>0</v>
      </c>
      <c r="K96" s="349">
        <f>J96*D96</f>
        <v>0</v>
      </c>
      <c r="L96" s="350">
        <f>G96+J96</f>
        <v>46.25</v>
      </c>
      <c r="M96" s="351">
        <f>D96*L96</f>
        <v>0</v>
      </c>
      <c r="N96" s="258"/>
      <c r="O96" s="258"/>
    </row>
    <row r="97" spans="1:15" ht="14.5" customHeight="1" thickBot="1" x14ac:dyDescent="0.35">
      <c r="A97" s="397"/>
      <c r="B97" s="449"/>
      <c r="C97" s="71"/>
      <c r="D97" s="72"/>
      <c r="E97" s="73"/>
      <c r="F97" s="74"/>
      <c r="G97" s="356"/>
      <c r="H97" s="356"/>
      <c r="I97" s="73"/>
      <c r="J97" s="73"/>
      <c r="K97" s="357"/>
      <c r="L97" s="358"/>
      <c r="M97" s="358"/>
      <c r="N97" s="258"/>
      <c r="O97" s="258"/>
    </row>
    <row r="98" spans="1:15" s="297" customFormat="1" ht="14.15" customHeight="1" x14ac:dyDescent="0.3">
      <c r="A98" s="402">
        <v>2.14</v>
      </c>
      <c r="B98" s="452"/>
      <c r="C98" s="78"/>
      <c r="D98" s="65" t="s">
        <v>173</v>
      </c>
      <c r="E98" s="53"/>
      <c r="F98" s="54"/>
      <c r="G98" s="391"/>
      <c r="H98" s="391"/>
      <c r="I98" s="53"/>
      <c r="J98" s="53"/>
      <c r="K98" s="392"/>
      <c r="L98" s="393"/>
      <c r="M98" s="393"/>
      <c r="N98" s="258"/>
      <c r="O98" s="258"/>
    </row>
    <row r="99" spans="1:15" s="297" customFormat="1" ht="14.15" customHeight="1" x14ac:dyDescent="0.3">
      <c r="A99" s="341"/>
      <c r="B99" s="444"/>
      <c r="C99" s="29"/>
      <c r="D99" s="1"/>
      <c r="E99" s="36"/>
      <c r="F99" s="41"/>
      <c r="G99" s="348"/>
      <c r="H99" s="348"/>
      <c r="I99" s="79"/>
      <c r="J99" s="79"/>
      <c r="K99" s="349"/>
      <c r="L99" s="350"/>
      <c r="M99" s="351"/>
      <c r="N99" s="258"/>
      <c r="O99" s="258"/>
    </row>
    <row r="100" spans="1:15" s="297" customFormat="1" ht="28" customHeight="1" x14ac:dyDescent="0.3">
      <c r="A100" s="341"/>
      <c r="B100" s="443" t="s">
        <v>174</v>
      </c>
      <c r="C100" s="29"/>
      <c r="D100" s="1"/>
      <c r="E100" s="36"/>
      <c r="F100" s="41"/>
      <c r="G100" s="348"/>
      <c r="H100" s="348"/>
      <c r="I100" s="79"/>
      <c r="J100" s="79"/>
      <c r="K100" s="349"/>
      <c r="L100" s="350"/>
      <c r="M100" s="351"/>
      <c r="N100" s="258"/>
      <c r="O100" s="258"/>
    </row>
    <row r="101" spans="1:15" s="297" customFormat="1" ht="14.15" customHeight="1" x14ac:dyDescent="0.3">
      <c r="A101" s="384"/>
      <c r="B101" s="443"/>
      <c r="C101" s="29"/>
      <c r="D101" s="1"/>
      <c r="E101" s="36"/>
      <c r="F101" s="41"/>
      <c r="G101" s="348"/>
      <c r="H101" s="348"/>
      <c r="I101" s="79"/>
      <c r="J101" s="79"/>
      <c r="K101" s="349"/>
      <c r="L101" s="350"/>
      <c r="M101" s="351"/>
      <c r="N101" s="258"/>
      <c r="O101" s="258"/>
    </row>
    <row r="102" spans="1:15" s="297" customFormat="1" ht="14.15" customHeight="1" x14ac:dyDescent="0.3">
      <c r="A102" s="384"/>
      <c r="B102" s="443" t="s">
        <v>282</v>
      </c>
      <c r="C102" s="29" t="s">
        <v>85</v>
      </c>
      <c r="D102" s="1">
        <v>13</v>
      </c>
      <c r="E102" s="36">
        <f>1100*1.1</f>
        <v>1210</v>
      </c>
      <c r="F102" s="41">
        <v>0.2</v>
      </c>
      <c r="G102" s="348">
        <f t="shared" ref="G102:G114" si="5">E102/(1-F102)</f>
        <v>1512.5</v>
      </c>
      <c r="H102" s="348">
        <f>(250+100)*1.5</f>
        <v>525</v>
      </c>
      <c r="I102" s="83">
        <v>0.15</v>
      </c>
      <c r="J102" s="79">
        <f t="shared" ref="J102:J114" si="6">H102*(1+I102)</f>
        <v>603.75</v>
      </c>
      <c r="K102" s="349">
        <f t="shared" ref="K102:K114" si="7">J102*D102</f>
        <v>7848.75</v>
      </c>
      <c r="L102" s="350">
        <f t="shared" ref="L102:L114" si="8">G102+J102</f>
        <v>2116.25</v>
      </c>
      <c r="M102" s="351">
        <f t="shared" ref="M102:M114" si="9">D102*L102</f>
        <v>27511.25</v>
      </c>
      <c r="N102" s="258"/>
      <c r="O102" s="258"/>
    </row>
    <row r="103" spans="1:15" s="297" customFormat="1" ht="14.15" customHeight="1" x14ac:dyDescent="0.3">
      <c r="A103" s="341" t="s">
        <v>175</v>
      </c>
      <c r="B103" s="443" t="s">
        <v>150</v>
      </c>
      <c r="C103" s="29" t="s">
        <v>85</v>
      </c>
      <c r="D103" s="1">
        <v>0</v>
      </c>
      <c r="E103" s="36">
        <f>752.54*1.1</f>
        <v>827.79399999999998</v>
      </c>
      <c r="F103" s="41">
        <v>0.2</v>
      </c>
      <c r="G103" s="348">
        <f t="shared" si="5"/>
        <v>1034.7424999999998</v>
      </c>
      <c r="H103" s="348">
        <f>(250+100)*1.5</f>
        <v>525</v>
      </c>
      <c r="I103" s="83">
        <v>0.15</v>
      </c>
      <c r="J103" s="79">
        <f t="shared" si="6"/>
        <v>603.75</v>
      </c>
      <c r="K103" s="349">
        <f t="shared" si="7"/>
        <v>0</v>
      </c>
      <c r="L103" s="350">
        <f t="shared" si="8"/>
        <v>1638.4924999999998</v>
      </c>
      <c r="M103" s="351">
        <f t="shared" si="9"/>
        <v>0</v>
      </c>
      <c r="N103" s="258"/>
      <c r="O103" s="258"/>
    </row>
    <row r="104" spans="1:15" s="297" customFormat="1" ht="14.15" customHeight="1" x14ac:dyDescent="0.3">
      <c r="A104" s="341"/>
      <c r="B104" s="443" t="s">
        <v>428</v>
      </c>
      <c r="C104" s="29" t="s">
        <v>85</v>
      </c>
      <c r="D104" s="1">
        <v>10</v>
      </c>
      <c r="E104" s="36">
        <v>500</v>
      </c>
      <c r="F104" s="41">
        <v>0.2</v>
      </c>
      <c r="G104" s="348">
        <f t="shared" si="5"/>
        <v>625</v>
      </c>
      <c r="H104" s="348">
        <f>(250+100)*1.5</f>
        <v>525</v>
      </c>
      <c r="I104" s="83">
        <v>0.15</v>
      </c>
      <c r="J104" s="79">
        <f t="shared" si="6"/>
        <v>603.75</v>
      </c>
      <c r="K104" s="349">
        <f t="shared" si="7"/>
        <v>6037.5</v>
      </c>
      <c r="L104" s="350">
        <f t="shared" si="8"/>
        <v>1228.75</v>
      </c>
      <c r="M104" s="351">
        <f t="shared" si="9"/>
        <v>12287.5</v>
      </c>
      <c r="N104" s="258"/>
      <c r="O104" s="258"/>
    </row>
    <row r="105" spans="1:15" s="297" customFormat="1" ht="14.15" customHeight="1" x14ac:dyDescent="0.3">
      <c r="A105" s="341" t="s">
        <v>176</v>
      </c>
      <c r="B105" s="443" t="s">
        <v>177</v>
      </c>
      <c r="C105" s="29" t="s">
        <v>85</v>
      </c>
      <c r="D105" s="1">
        <v>0</v>
      </c>
      <c r="E105" s="36">
        <f>350*1.1</f>
        <v>385.00000000000006</v>
      </c>
      <c r="F105" s="41">
        <v>0.2</v>
      </c>
      <c r="G105" s="348">
        <f t="shared" si="5"/>
        <v>481.25000000000006</v>
      </c>
      <c r="H105" s="348">
        <f>(250+100)*1.5</f>
        <v>525</v>
      </c>
      <c r="I105" s="83">
        <v>0.15</v>
      </c>
      <c r="J105" s="79">
        <f t="shared" si="6"/>
        <v>603.75</v>
      </c>
      <c r="K105" s="349">
        <f t="shared" si="7"/>
        <v>0</v>
      </c>
      <c r="L105" s="350">
        <f t="shared" si="8"/>
        <v>1085</v>
      </c>
      <c r="M105" s="351">
        <f t="shared" si="9"/>
        <v>0</v>
      </c>
      <c r="N105" s="258"/>
      <c r="O105" s="258"/>
    </row>
    <row r="106" spans="1:15" s="297" customFormat="1" ht="14.15" customHeight="1" x14ac:dyDescent="0.3">
      <c r="A106" s="341" t="s">
        <v>178</v>
      </c>
      <c r="B106" s="443" t="s">
        <v>152</v>
      </c>
      <c r="C106" s="29" t="s">
        <v>85</v>
      </c>
      <c r="D106" s="1">
        <v>0</v>
      </c>
      <c r="E106" s="36">
        <v>550</v>
      </c>
      <c r="F106" s="41">
        <v>0.2</v>
      </c>
      <c r="G106" s="348">
        <f t="shared" si="5"/>
        <v>687.5</v>
      </c>
      <c r="H106" s="348">
        <f>(250+100)*1.5</f>
        <v>525</v>
      </c>
      <c r="I106" s="83">
        <v>0.15</v>
      </c>
      <c r="J106" s="79">
        <f t="shared" si="6"/>
        <v>603.75</v>
      </c>
      <c r="K106" s="349">
        <f t="shared" si="7"/>
        <v>0</v>
      </c>
      <c r="L106" s="350">
        <f t="shared" si="8"/>
        <v>1291.25</v>
      </c>
      <c r="M106" s="351">
        <f t="shared" si="9"/>
        <v>0</v>
      </c>
      <c r="N106" s="258"/>
      <c r="O106" s="258"/>
    </row>
    <row r="107" spans="1:15" s="297" customFormat="1" ht="14.15" customHeight="1" x14ac:dyDescent="0.3">
      <c r="A107" s="341" t="s">
        <v>179</v>
      </c>
      <c r="B107" s="443" t="s">
        <v>154</v>
      </c>
      <c r="C107" s="29" t="s">
        <v>85</v>
      </c>
      <c r="D107" s="1">
        <v>16</v>
      </c>
      <c r="E107" s="36">
        <v>350</v>
      </c>
      <c r="F107" s="41">
        <v>0.2</v>
      </c>
      <c r="G107" s="348">
        <f t="shared" si="5"/>
        <v>437.5</v>
      </c>
      <c r="H107" s="348">
        <v>525</v>
      </c>
      <c r="I107" s="83">
        <v>0.15</v>
      </c>
      <c r="J107" s="79">
        <f t="shared" si="6"/>
        <v>603.75</v>
      </c>
      <c r="K107" s="349">
        <f t="shared" si="7"/>
        <v>9660</v>
      </c>
      <c r="L107" s="350">
        <f t="shared" si="8"/>
        <v>1041.25</v>
      </c>
      <c r="M107" s="351">
        <f t="shared" si="9"/>
        <v>16660</v>
      </c>
      <c r="N107" s="258"/>
      <c r="O107" s="258"/>
    </row>
    <row r="108" spans="1:15" s="297" customFormat="1" ht="14.5" customHeight="1" x14ac:dyDescent="0.3">
      <c r="A108" s="341" t="s">
        <v>180</v>
      </c>
      <c r="B108" s="443" t="s">
        <v>156</v>
      </c>
      <c r="C108" s="29" t="s">
        <v>85</v>
      </c>
      <c r="D108" s="1">
        <v>0</v>
      </c>
      <c r="E108" s="36"/>
      <c r="F108" s="41"/>
      <c r="G108" s="348">
        <f t="shared" si="5"/>
        <v>0</v>
      </c>
      <c r="H108" s="348">
        <v>525</v>
      </c>
      <c r="I108" s="83">
        <v>0.15</v>
      </c>
      <c r="J108" s="79">
        <f t="shared" si="6"/>
        <v>603.75</v>
      </c>
      <c r="K108" s="349">
        <f t="shared" si="7"/>
        <v>0</v>
      </c>
      <c r="L108" s="350">
        <f t="shared" si="8"/>
        <v>603.75</v>
      </c>
      <c r="M108" s="351">
        <f t="shared" si="9"/>
        <v>0</v>
      </c>
      <c r="N108" s="258"/>
      <c r="O108" s="258"/>
    </row>
    <row r="109" spans="1:15" s="297" customFormat="1" ht="14.15" customHeight="1" x14ac:dyDescent="0.3">
      <c r="A109" s="341" t="s">
        <v>181</v>
      </c>
      <c r="B109" s="443" t="s">
        <v>158</v>
      </c>
      <c r="C109" s="29" t="s">
        <v>85</v>
      </c>
      <c r="D109" s="1">
        <v>10</v>
      </c>
      <c r="E109" s="36">
        <v>350</v>
      </c>
      <c r="F109" s="41">
        <v>0.2</v>
      </c>
      <c r="G109" s="348">
        <f t="shared" si="5"/>
        <v>437.5</v>
      </c>
      <c r="H109" s="348">
        <v>525</v>
      </c>
      <c r="I109" s="83">
        <v>0.15</v>
      </c>
      <c r="J109" s="79">
        <f t="shared" si="6"/>
        <v>603.75</v>
      </c>
      <c r="K109" s="349">
        <f t="shared" si="7"/>
        <v>6037.5</v>
      </c>
      <c r="L109" s="350">
        <f t="shared" si="8"/>
        <v>1041.25</v>
      </c>
      <c r="M109" s="351">
        <f t="shared" si="9"/>
        <v>10412.5</v>
      </c>
      <c r="N109" s="258"/>
      <c r="O109" s="258"/>
    </row>
    <row r="110" spans="1:15" s="297" customFormat="1" ht="14.15" customHeight="1" x14ac:dyDescent="0.3">
      <c r="A110" s="341" t="s">
        <v>182</v>
      </c>
      <c r="B110" s="443" t="s">
        <v>160</v>
      </c>
      <c r="C110" s="29" t="s">
        <v>85</v>
      </c>
      <c r="D110" s="1">
        <v>0</v>
      </c>
      <c r="E110" s="36">
        <v>350</v>
      </c>
      <c r="F110" s="41">
        <v>0.2</v>
      </c>
      <c r="G110" s="348">
        <f t="shared" si="5"/>
        <v>437.5</v>
      </c>
      <c r="H110" s="348">
        <v>525</v>
      </c>
      <c r="I110" s="83">
        <v>0.15</v>
      </c>
      <c r="J110" s="79">
        <f t="shared" si="6"/>
        <v>603.75</v>
      </c>
      <c r="K110" s="349">
        <f t="shared" si="7"/>
        <v>0</v>
      </c>
      <c r="L110" s="350">
        <f t="shared" si="8"/>
        <v>1041.25</v>
      </c>
      <c r="M110" s="351">
        <f t="shared" si="9"/>
        <v>0</v>
      </c>
      <c r="N110" s="258"/>
      <c r="O110" s="258"/>
    </row>
    <row r="111" spans="1:15" s="297" customFormat="1" ht="14.15" customHeight="1" x14ac:dyDescent="0.3">
      <c r="A111" s="341" t="s">
        <v>183</v>
      </c>
      <c r="B111" s="443" t="s">
        <v>184</v>
      </c>
      <c r="C111" s="29" t="s">
        <v>85</v>
      </c>
      <c r="D111" s="1">
        <v>0</v>
      </c>
      <c r="E111" s="36"/>
      <c r="F111" s="41"/>
      <c r="G111" s="348">
        <f t="shared" si="5"/>
        <v>0</v>
      </c>
      <c r="H111" s="348">
        <v>525</v>
      </c>
      <c r="I111" s="83">
        <v>0.15</v>
      </c>
      <c r="J111" s="79">
        <f t="shared" si="6"/>
        <v>603.75</v>
      </c>
      <c r="K111" s="349">
        <f t="shared" si="7"/>
        <v>0</v>
      </c>
      <c r="L111" s="350">
        <f t="shared" si="8"/>
        <v>603.75</v>
      </c>
      <c r="M111" s="351">
        <f t="shared" si="9"/>
        <v>0</v>
      </c>
      <c r="N111" s="258"/>
      <c r="O111" s="258"/>
    </row>
    <row r="112" spans="1:15" s="297" customFormat="1" ht="14.15" customHeight="1" x14ac:dyDescent="0.3">
      <c r="A112" s="341" t="s">
        <v>185</v>
      </c>
      <c r="B112" s="443" t="s">
        <v>186</v>
      </c>
      <c r="C112" s="29" t="s">
        <v>85</v>
      </c>
      <c r="D112" s="1">
        <v>0</v>
      </c>
      <c r="E112" s="36">
        <v>250</v>
      </c>
      <c r="F112" s="41">
        <v>0.2</v>
      </c>
      <c r="G112" s="348">
        <f t="shared" si="5"/>
        <v>312.5</v>
      </c>
      <c r="H112" s="348">
        <v>525</v>
      </c>
      <c r="I112" s="83">
        <v>0.15</v>
      </c>
      <c r="J112" s="79">
        <f t="shared" si="6"/>
        <v>603.75</v>
      </c>
      <c r="K112" s="349">
        <f t="shared" si="7"/>
        <v>0</v>
      </c>
      <c r="L112" s="350">
        <f t="shared" si="8"/>
        <v>916.25</v>
      </c>
      <c r="M112" s="351">
        <f t="shared" si="9"/>
        <v>0</v>
      </c>
      <c r="N112" s="258"/>
      <c r="O112" s="258"/>
    </row>
    <row r="113" spans="1:15" s="297" customFormat="1" ht="14.15" customHeight="1" x14ac:dyDescent="0.3">
      <c r="A113" s="341" t="s">
        <v>187</v>
      </c>
      <c r="B113" s="443" t="s">
        <v>188</v>
      </c>
      <c r="C113" s="29" t="s">
        <v>85</v>
      </c>
      <c r="D113" s="1">
        <v>0</v>
      </c>
      <c r="E113" s="36">
        <v>500</v>
      </c>
      <c r="F113" s="41">
        <v>0.2</v>
      </c>
      <c r="G113" s="348">
        <f t="shared" si="5"/>
        <v>625</v>
      </c>
      <c r="H113" s="348">
        <v>525</v>
      </c>
      <c r="I113" s="83">
        <v>0.15</v>
      </c>
      <c r="J113" s="79">
        <f t="shared" si="6"/>
        <v>603.75</v>
      </c>
      <c r="K113" s="349">
        <f t="shared" si="7"/>
        <v>0</v>
      </c>
      <c r="L113" s="350">
        <f t="shared" si="8"/>
        <v>1228.75</v>
      </c>
      <c r="M113" s="351">
        <f t="shared" si="9"/>
        <v>0</v>
      </c>
      <c r="N113" s="258"/>
      <c r="O113" s="258"/>
    </row>
    <row r="114" spans="1:15" s="297" customFormat="1" ht="14.5" customHeight="1" thickBot="1" x14ac:dyDescent="0.35">
      <c r="A114" s="381" t="s">
        <v>189</v>
      </c>
      <c r="B114" s="446" t="s">
        <v>190</v>
      </c>
      <c r="C114" s="76" t="s">
        <v>85</v>
      </c>
      <c r="D114" s="50">
        <v>0</v>
      </c>
      <c r="E114" s="51">
        <v>500</v>
      </c>
      <c r="F114" s="52">
        <v>0.2</v>
      </c>
      <c r="G114" s="376">
        <f t="shared" si="5"/>
        <v>625</v>
      </c>
      <c r="H114" s="376">
        <v>525</v>
      </c>
      <c r="I114" s="84">
        <v>0.15</v>
      </c>
      <c r="J114" s="80">
        <f t="shared" si="6"/>
        <v>603.75</v>
      </c>
      <c r="K114" s="382">
        <f t="shared" si="7"/>
        <v>0</v>
      </c>
      <c r="L114" s="350">
        <f t="shared" si="8"/>
        <v>1228.75</v>
      </c>
      <c r="M114" s="378">
        <f t="shared" si="9"/>
        <v>0</v>
      </c>
      <c r="N114" s="258"/>
      <c r="O114" s="258"/>
    </row>
    <row r="115" spans="1:15" s="297" customFormat="1" ht="14.5" customHeight="1" thickBot="1" x14ac:dyDescent="0.35">
      <c r="A115" s="404"/>
      <c r="B115" s="453"/>
      <c r="C115" s="29"/>
      <c r="D115" s="1"/>
      <c r="E115" s="36"/>
      <c r="F115" s="41"/>
      <c r="G115" s="348"/>
      <c r="H115" s="348"/>
      <c r="I115" s="79"/>
      <c r="J115" s="79"/>
      <c r="K115" s="406"/>
      <c r="L115" s="350"/>
      <c r="M115" s="351"/>
      <c r="N115" s="258"/>
      <c r="O115" s="258"/>
    </row>
    <row r="116" spans="1:15" ht="14.15" customHeight="1" x14ac:dyDescent="0.3">
      <c r="A116" s="359">
        <v>2.15</v>
      </c>
      <c r="B116" s="450"/>
      <c r="C116" s="75"/>
      <c r="D116" s="58" t="s">
        <v>191</v>
      </c>
      <c r="E116" s="56"/>
      <c r="F116" s="57"/>
      <c r="G116" s="361"/>
      <c r="H116" s="361"/>
      <c r="I116" s="56"/>
      <c r="J116" s="56"/>
      <c r="K116" s="362"/>
      <c r="L116" s="363"/>
      <c r="M116" s="363"/>
      <c r="N116" s="258"/>
      <c r="O116" s="258"/>
    </row>
    <row r="117" spans="1:15" ht="14.15" customHeight="1" x14ac:dyDescent="0.3">
      <c r="A117" s="341"/>
      <c r="B117" s="444"/>
      <c r="C117" s="29"/>
      <c r="D117" s="1"/>
      <c r="E117" s="36"/>
      <c r="F117" s="41"/>
      <c r="G117" s="348"/>
      <c r="H117" s="348"/>
      <c r="I117" s="79"/>
      <c r="J117" s="79"/>
      <c r="K117" s="349"/>
      <c r="L117" s="350"/>
      <c r="M117" s="351"/>
      <c r="N117" s="258"/>
      <c r="O117" s="258"/>
    </row>
    <row r="118" spans="1:15" ht="28" customHeight="1" x14ac:dyDescent="0.3">
      <c r="A118" s="341"/>
      <c r="B118" s="443" t="s">
        <v>192</v>
      </c>
      <c r="C118" s="29"/>
      <c r="D118" s="1"/>
      <c r="E118" s="36"/>
      <c r="F118" s="41"/>
      <c r="G118" s="348"/>
      <c r="H118" s="348"/>
      <c r="I118" s="79"/>
      <c r="J118" s="79"/>
      <c r="K118" s="349"/>
      <c r="L118" s="350"/>
      <c r="M118" s="351"/>
      <c r="N118" s="258"/>
      <c r="O118" s="258"/>
    </row>
    <row r="119" spans="1:15" ht="14.15" customHeight="1" x14ac:dyDescent="0.3">
      <c r="A119" s="384"/>
      <c r="B119" s="443"/>
      <c r="C119" s="29"/>
      <c r="D119" s="1"/>
      <c r="E119" s="36"/>
      <c r="F119" s="41"/>
      <c r="G119" s="348"/>
      <c r="H119" s="348"/>
      <c r="I119" s="79"/>
      <c r="J119" s="79"/>
      <c r="K119" s="349"/>
      <c r="L119" s="350"/>
      <c r="M119" s="351"/>
      <c r="N119" s="258"/>
      <c r="O119" s="258"/>
    </row>
    <row r="120" spans="1:15" ht="14.15" customHeight="1" x14ac:dyDescent="0.3">
      <c r="A120" s="341" t="s">
        <v>193</v>
      </c>
      <c r="B120" s="443" t="s">
        <v>194</v>
      </c>
      <c r="C120" s="29" t="s">
        <v>108</v>
      </c>
      <c r="D120" s="1">
        <v>0</v>
      </c>
      <c r="E120" s="36">
        <f>132*(15+10+10)</f>
        <v>4620</v>
      </c>
      <c r="F120" s="41">
        <v>0.2</v>
      </c>
      <c r="G120" s="348">
        <f>E120/(1-F120)</f>
        <v>5775</v>
      </c>
      <c r="H120" s="348">
        <f>9*(15+10+10)</f>
        <v>315</v>
      </c>
      <c r="I120" s="83">
        <v>0.15</v>
      </c>
      <c r="J120" s="79">
        <f>H120*(1+I120)</f>
        <v>362.25</v>
      </c>
      <c r="K120" s="349">
        <f>J120*D120</f>
        <v>0</v>
      </c>
      <c r="L120" s="350">
        <f>G120+J120</f>
        <v>6137.25</v>
      </c>
      <c r="M120" s="351">
        <f>D120*L120</f>
        <v>0</v>
      </c>
      <c r="N120" s="258"/>
      <c r="O120" s="258"/>
    </row>
    <row r="121" spans="1:15" ht="14.5" customHeight="1" thickBot="1" x14ac:dyDescent="0.35">
      <c r="A121" s="381" t="s">
        <v>195</v>
      </c>
      <c r="B121" s="446" t="s">
        <v>196</v>
      </c>
      <c r="C121" s="76" t="s">
        <v>108</v>
      </c>
      <c r="D121" s="50">
        <v>500</v>
      </c>
      <c r="E121" s="51">
        <f>30</f>
        <v>30</v>
      </c>
      <c r="F121" s="52">
        <v>0.2</v>
      </c>
      <c r="G121" s="376">
        <f>E121/(1-F121)</f>
        <v>37.5</v>
      </c>
      <c r="H121" s="376">
        <f>15</f>
        <v>15</v>
      </c>
      <c r="I121" s="84">
        <v>0.15</v>
      </c>
      <c r="J121" s="80">
        <f>H121*(1+I121)</f>
        <v>17.25</v>
      </c>
      <c r="K121" s="382">
        <f>J121*D121</f>
        <v>8625</v>
      </c>
      <c r="L121" s="407">
        <f>G121+J121</f>
        <v>54.75</v>
      </c>
      <c r="M121" s="378">
        <f>D121*L121</f>
        <v>27375</v>
      </c>
      <c r="N121" s="258"/>
      <c r="O121" s="258"/>
    </row>
    <row r="122" spans="1:15" ht="14.5" customHeight="1" thickBot="1" x14ac:dyDescent="0.35">
      <c r="A122" s="258"/>
      <c r="B122" s="453"/>
      <c r="C122" s="29"/>
      <c r="D122" s="1"/>
      <c r="E122" s="36"/>
      <c r="F122" s="41"/>
      <c r="G122" s="348"/>
      <c r="H122" s="348"/>
      <c r="I122" s="79"/>
      <c r="J122" s="79"/>
      <c r="K122" s="406"/>
      <c r="L122" s="350"/>
      <c r="M122" s="351"/>
      <c r="N122" s="258"/>
      <c r="O122" s="258"/>
    </row>
    <row r="123" spans="1:15" ht="14.15" customHeight="1" x14ac:dyDescent="0.3">
      <c r="A123" s="359">
        <v>2.16</v>
      </c>
      <c r="B123" s="450"/>
      <c r="C123" s="75"/>
      <c r="D123" s="58" t="s">
        <v>197</v>
      </c>
      <c r="E123" s="56"/>
      <c r="F123" s="57"/>
      <c r="G123" s="361"/>
      <c r="H123" s="361"/>
      <c r="I123" s="56"/>
      <c r="J123" s="56"/>
      <c r="K123" s="362"/>
      <c r="L123" s="363"/>
      <c r="M123" s="363"/>
      <c r="N123" s="258"/>
      <c r="O123" s="258"/>
    </row>
    <row r="124" spans="1:15" ht="14.15" customHeight="1" x14ac:dyDescent="0.3">
      <c r="A124" s="341"/>
      <c r="B124" s="444"/>
      <c r="C124" s="29"/>
      <c r="D124" s="1"/>
      <c r="E124" s="36"/>
      <c r="F124" s="41"/>
      <c r="G124" s="348"/>
      <c r="H124" s="348"/>
      <c r="I124" s="79"/>
      <c r="J124" s="79"/>
      <c r="K124" s="349"/>
      <c r="L124" s="350"/>
      <c r="M124" s="351"/>
      <c r="N124" s="258"/>
      <c r="O124" s="258"/>
    </row>
    <row r="125" spans="1:15" ht="28.5" customHeight="1" thickBot="1" x14ac:dyDescent="0.35">
      <c r="A125" s="381" t="s">
        <v>198</v>
      </c>
      <c r="B125" s="446" t="s">
        <v>199</v>
      </c>
      <c r="C125" s="86" t="s">
        <v>108</v>
      </c>
      <c r="D125" s="50">
        <v>10</v>
      </c>
      <c r="E125" s="51">
        <v>5</v>
      </c>
      <c r="F125" s="52">
        <v>0.2</v>
      </c>
      <c r="G125" s="376">
        <f>E125/(1-F125)</f>
        <v>6.25</v>
      </c>
      <c r="H125" s="376">
        <f>(100*3)</f>
        <v>300</v>
      </c>
      <c r="I125" s="84">
        <v>0.15</v>
      </c>
      <c r="J125" s="80">
        <f>H125*(1+I125)</f>
        <v>345</v>
      </c>
      <c r="K125" s="382">
        <f>J125*D125</f>
        <v>3450</v>
      </c>
      <c r="L125" s="407">
        <f>G125+J125</f>
        <v>351.25</v>
      </c>
      <c r="M125" s="378">
        <f>D125*L125</f>
        <v>3512.5</v>
      </c>
      <c r="N125" s="258"/>
      <c r="O125" s="258"/>
    </row>
    <row r="126" spans="1:15" ht="13.4" customHeight="1" thickBot="1" x14ac:dyDescent="0.35">
      <c r="A126" s="404"/>
      <c r="B126" s="453"/>
      <c r="C126" s="87"/>
      <c r="D126" s="1"/>
      <c r="E126" s="36"/>
      <c r="F126" s="41"/>
      <c r="G126" s="348"/>
      <c r="H126" s="348"/>
      <c r="I126" s="79"/>
      <c r="J126" s="79"/>
      <c r="K126" s="406"/>
      <c r="L126" s="350"/>
      <c r="M126" s="351"/>
      <c r="N126" s="258"/>
      <c r="O126" s="258"/>
    </row>
    <row r="127" spans="1:15" ht="14.15" customHeight="1" x14ac:dyDescent="0.3">
      <c r="A127" s="359">
        <v>2.17</v>
      </c>
      <c r="B127" s="450"/>
      <c r="C127" s="91"/>
      <c r="D127" s="58" t="s">
        <v>200</v>
      </c>
      <c r="E127" s="56"/>
      <c r="F127" s="57"/>
      <c r="G127" s="361"/>
      <c r="H127" s="361"/>
      <c r="I127" s="56"/>
      <c r="J127" s="56"/>
      <c r="K127" s="362"/>
      <c r="L127" s="363"/>
      <c r="M127" s="363"/>
      <c r="N127" s="258"/>
      <c r="O127" s="258"/>
    </row>
    <row r="128" spans="1:15" ht="14.15" customHeight="1" x14ac:dyDescent="0.3">
      <c r="A128" s="341"/>
      <c r="B128" s="454"/>
      <c r="C128" s="87"/>
      <c r="D128" s="1"/>
      <c r="E128" s="36"/>
      <c r="F128" s="41"/>
      <c r="G128" s="348"/>
      <c r="H128" s="348"/>
      <c r="I128" s="79"/>
      <c r="J128" s="79"/>
      <c r="K128" s="349"/>
      <c r="L128" s="350"/>
      <c r="M128" s="351"/>
      <c r="N128" s="258"/>
      <c r="O128" s="258"/>
    </row>
    <row r="129" spans="1:15" ht="14.15" customHeight="1" x14ac:dyDescent="0.3">
      <c r="A129" s="341"/>
      <c r="B129" s="443" t="s">
        <v>201</v>
      </c>
      <c r="C129" s="87"/>
      <c r="D129" s="1"/>
      <c r="E129" s="36"/>
      <c r="F129" s="41"/>
      <c r="G129" s="348"/>
      <c r="H129" s="348"/>
      <c r="I129" s="79"/>
      <c r="J129" s="79"/>
      <c r="K129" s="349"/>
      <c r="L129" s="350"/>
      <c r="M129" s="351"/>
      <c r="N129" s="258"/>
      <c r="O129" s="258"/>
    </row>
    <row r="130" spans="1:15" ht="14.15" customHeight="1" x14ac:dyDescent="0.3">
      <c r="A130" s="384"/>
      <c r="B130" s="455"/>
      <c r="C130" s="87"/>
      <c r="D130" s="1"/>
      <c r="E130" s="36"/>
      <c r="F130" s="41"/>
      <c r="G130" s="348"/>
      <c r="H130" s="348"/>
      <c r="I130" s="79"/>
      <c r="J130" s="79"/>
      <c r="K130" s="349"/>
      <c r="L130" s="350"/>
      <c r="M130" s="351"/>
      <c r="N130" s="258"/>
      <c r="O130" s="258"/>
    </row>
    <row r="131" spans="1:15" ht="28" customHeight="1" x14ac:dyDescent="0.3">
      <c r="A131" s="341" t="s">
        <v>202</v>
      </c>
      <c r="B131" s="443" t="s">
        <v>203</v>
      </c>
      <c r="C131" s="87" t="s">
        <v>42</v>
      </c>
      <c r="D131" s="1">
        <v>0</v>
      </c>
      <c r="E131" s="36"/>
      <c r="F131" s="41">
        <v>0.2</v>
      </c>
      <c r="G131" s="348">
        <f>E131/(1-F131)</f>
        <v>0</v>
      </c>
      <c r="H131" s="348">
        <f>140*(20+60+200)</f>
        <v>39200</v>
      </c>
      <c r="I131" s="83">
        <v>0.15</v>
      </c>
      <c r="J131" s="79">
        <f>H131*(1+I131)</f>
        <v>45080</v>
      </c>
      <c r="K131" s="349">
        <f>J131*D131</f>
        <v>0</v>
      </c>
      <c r="L131" s="350">
        <f>G131+J131</f>
        <v>45080</v>
      </c>
      <c r="M131" s="351">
        <f>D131*L131</f>
        <v>0</v>
      </c>
      <c r="N131" s="258"/>
      <c r="O131" s="258"/>
    </row>
    <row r="132" spans="1:15" s="297" customFormat="1" ht="28" customHeight="1" x14ac:dyDescent="0.3">
      <c r="A132" s="341" t="s">
        <v>204</v>
      </c>
      <c r="B132" s="443" t="s">
        <v>205</v>
      </c>
      <c r="C132" s="87" t="s">
        <v>42</v>
      </c>
      <c r="D132" s="1">
        <v>0</v>
      </c>
      <c r="E132" s="36"/>
      <c r="F132" s="41">
        <v>0.2</v>
      </c>
      <c r="G132" s="348">
        <f>E132/(1-F132)</f>
        <v>0</v>
      </c>
      <c r="H132" s="348">
        <f>140*(20+60+200)</f>
        <v>39200</v>
      </c>
      <c r="I132" s="83">
        <v>0.15</v>
      </c>
      <c r="J132" s="79">
        <f>H132*(1+I132)</f>
        <v>45080</v>
      </c>
      <c r="K132" s="349">
        <f>J132*D132</f>
        <v>0</v>
      </c>
      <c r="L132" s="350">
        <f>G132+J132</f>
        <v>45080</v>
      </c>
      <c r="M132" s="351">
        <f>D132*L132</f>
        <v>0</v>
      </c>
      <c r="N132" s="258"/>
      <c r="O132" s="258"/>
    </row>
    <row r="133" spans="1:15" s="297" customFormat="1" ht="14.15" customHeight="1" x14ac:dyDescent="0.3">
      <c r="A133" s="341" t="s">
        <v>206</v>
      </c>
      <c r="B133" s="443" t="s">
        <v>207</v>
      </c>
      <c r="C133" s="87" t="s">
        <v>42</v>
      </c>
      <c r="D133" s="1">
        <v>0</v>
      </c>
      <c r="E133" s="36">
        <f>35*(50+50)</f>
        <v>3500</v>
      </c>
      <c r="F133" s="41">
        <v>0.2</v>
      </c>
      <c r="G133" s="348">
        <f>E133/(1-F133)</f>
        <v>4375</v>
      </c>
      <c r="H133" s="348">
        <f>5*(50+50+50)</f>
        <v>750</v>
      </c>
      <c r="I133" s="83">
        <v>0.15</v>
      </c>
      <c r="J133" s="79">
        <f>H133*(1+I133)</f>
        <v>862.49999999999989</v>
      </c>
      <c r="K133" s="349">
        <f>J133*D133</f>
        <v>0</v>
      </c>
      <c r="L133" s="350">
        <f>G133+J133</f>
        <v>5237.5</v>
      </c>
      <c r="M133" s="351">
        <f>D133*L133</f>
        <v>0</v>
      </c>
      <c r="N133" s="258"/>
      <c r="O133" s="258"/>
    </row>
    <row r="134" spans="1:15" s="297" customFormat="1" ht="14.5" customHeight="1" thickBot="1" x14ac:dyDescent="0.35">
      <c r="A134" s="381" t="s">
        <v>208</v>
      </c>
      <c r="B134" s="446" t="s">
        <v>209</v>
      </c>
      <c r="C134" s="86" t="s">
        <v>42</v>
      </c>
      <c r="D134" s="50">
        <v>0</v>
      </c>
      <c r="E134" s="51">
        <f>4500*3</f>
        <v>13500</v>
      </c>
      <c r="F134" s="52">
        <v>0.2</v>
      </c>
      <c r="G134" s="376">
        <f>E134/(1-F134)</f>
        <v>16875</v>
      </c>
      <c r="H134" s="376">
        <v>5</v>
      </c>
      <c r="I134" s="84">
        <v>0.15</v>
      </c>
      <c r="J134" s="80">
        <f>H134*(1+I134)</f>
        <v>5.75</v>
      </c>
      <c r="K134" s="382">
        <f>J134*D134</f>
        <v>0</v>
      </c>
      <c r="L134" s="407">
        <f>G134+J134</f>
        <v>16880.75</v>
      </c>
      <c r="M134" s="378">
        <f>D134*L134</f>
        <v>0</v>
      </c>
      <c r="N134" s="258"/>
      <c r="O134" s="258"/>
    </row>
    <row r="135" spans="1:15" s="297" customFormat="1" ht="14.5" customHeight="1" thickBot="1" x14ac:dyDescent="0.35">
      <c r="A135" s="404"/>
      <c r="B135" s="456"/>
      <c r="C135" s="1"/>
      <c r="D135" s="1"/>
      <c r="E135" s="36"/>
      <c r="F135" s="41"/>
      <c r="G135" s="348"/>
      <c r="H135" s="348"/>
      <c r="I135" s="79"/>
      <c r="J135" s="79"/>
      <c r="K135" s="406"/>
      <c r="L135" s="350"/>
      <c r="M135" s="351"/>
      <c r="N135" s="258"/>
      <c r="O135" s="258"/>
    </row>
    <row r="136" spans="1:15" s="297" customFormat="1" ht="14.15" customHeight="1" x14ac:dyDescent="0.3">
      <c r="A136" s="359">
        <v>2.1800000000000002</v>
      </c>
      <c r="B136" s="450"/>
      <c r="C136" s="91"/>
      <c r="D136" s="55" t="s">
        <v>210</v>
      </c>
      <c r="E136" s="56"/>
      <c r="F136" s="57"/>
      <c r="G136" s="361"/>
      <c r="H136" s="361"/>
      <c r="I136" s="56"/>
      <c r="J136" s="56"/>
      <c r="K136" s="362"/>
      <c r="L136" s="363"/>
      <c r="M136" s="363"/>
      <c r="N136" s="258"/>
      <c r="O136" s="258"/>
    </row>
    <row r="137" spans="1:15" s="297" customFormat="1" ht="14.15" customHeight="1" x14ac:dyDescent="0.3">
      <c r="A137" s="341"/>
      <c r="B137" s="454"/>
      <c r="C137" s="87"/>
      <c r="D137" s="1"/>
      <c r="E137" s="36"/>
      <c r="F137" s="41"/>
      <c r="G137" s="348"/>
      <c r="H137" s="348"/>
      <c r="I137" s="79"/>
      <c r="J137" s="79"/>
      <c r="K137" s="349"/>
      <c r="L137" s="350"/>
      <c r="M137" s="351"/>
      <c r="N137" s="258"/>
      <c r="O137" s="258"/>
    </row>
    <row r="138" spans="1:15" s="297" customFormat="1" ht="14.15" customHeight="1" x14ac:dyDescent="0.3">
      <c r="A138" s="341" t="s">
        <v>211</v>
      </c>
      <c r="B138" s="443" t="s">
        <v>243</v>
      </c>
      <c r="C138" s="87" t="s">
        <v>42</v>
      </c>
      <c r="D138" s="1">
        <v>2</v>
      </c>
      <c r="E138" s="36">
        <v>10000</v>
      </c>
      <c r="F138" s="41">
        <v>0.2</v>
      </c>
      <c r="G138" s="348">
        <f>E138/(1-F138)</f>
        <v>12500</v>
      </c>
      <c r="H138" s="348">
        <f>2500*3</f>
        <v>7500</v>
      </c>
      <c r="I138" s="79"/>
      <c r="J138" s="79"/>
      <c r="K138" s="349">
        <f>H138*D138</f>
        <v>15000</v>
      </c>
      <c r="L138" s="350">
        <f>G138+J138</f>
        <v>12500</v>
      </c>
      <c r="M138" s="351">
        <f>D138*L138</f>
        <v>25000</v>
      </c>
      <c r="N138" s="258"/>
      <c r="O138" s="258"/>
    </row>
    <row r="139" spans="1:15" s="297" customFormat="1" ht="14.5" customHeight="1" thickBot="1" x14ac:dyDescent="0.35">
      <c r="A139" s="381"/>
      <c r="B139" s="411"/>
      <c r="C139" s="50"/>
      <c r="D139" s="50"/>
      <c r="E139" s="51"/>
      <c r="F139" s="52"/>
      <c r="G139" s="376"/>
      <c r="H139" s="376"/>
      <c r="I139" s="80"/>
      <c r="J139" s="80"/>
      <c r="K139" s="382">
        <f>H139*D139</f>
        <v>0</v>
      </c>
      <c r="L139" s="412"/>
      <c r="M139" s="378"/>
      <c r="N139" s="258"/>
      <c r="O139" s="258"/>
    </row>
    <row r="140" spans="1:15" s="297" customFormat="1" ht="14.15" customHeight="1" x14ac:dyDescent="0.3">
      <c r="A140" s="369"/>
      <c r="B140" s="413"/>
      <c r="C140" s="1"/>
      <c r="D140" s="1"/>
      <c r="E140" s="36"/>
      <c r="F140" s="41"/>
      <c r="G140" s="348"/>
      <c r="H140" s="348"/>
      <c r="I140" s="36"/>
      <c r="J140" s="36"/>
      <c r="K140" s="414"/>
      <c r="L140" s="350"/>
      <c r="M140" s="351"/>
      <c r="N140" s="258"/>
      <c r="O140" s="258"/>
    </row>
    <row r="141" spans="1:15" s="297" customFormat="1" ht="14.15" customHeight="1" x14ac:dyDescent="0.3">
      <c r="A141" s="404">
        <v>2.19</v>
      </c>
      <c r="B141" s="455" t="s">
        <v>213</v>
      </c>
      <c r="C141" s="29"/>
      <c r="D141" s="1"/>
      <c r="E141" s="36"/>
      <c r="F141" s="41"/>
      <c r="G141" s="348"/>
      <c r="H141" s="348"/>
      <c r="I141" s="36"/>
      <c r="J141" s="36"/>
      <c r="K141" s="415">
        <f>H141*D141</f>
        <v>0</v>
      </c>
      <c r="L141" s="350"/>
      <c r="M141" s="351"/>
      <c r="N141" s="258"/>
      <c r="O141" s="258"/>
    </row>
    <row r="142" spans="1:15" s="297" customFormat="1" ht="14.15" customHeight="1" x14ac:dyDescent="0.3">
      <c r="A142" s="404" t="s">
        <v>214</v>
      </c>
      <c r="B142" s="443" t="s">
        <v>215</v>
      </c>
      <c r="C142" s="29" t="s">
        <v>42</v>
      </c>
      <c r="D142" s="1">
        <v>1</v>
      </c>
      <c r="E142" s="36">
        <v>25000</v>
      </c>
      <c r="F142" s="41">
        <v>0</v>
      </c>
      <c r="G142" s="348">
        <f>E142/(1-F142)</f>
        <v>25000</v>
      </c>
      <c r="H142" s="348">
        <v>0</v>
      </c>
      <c r="I142" s="36"/>
      <c r="J142" s="36"/>
      <c r="K142" s="415">
        <f>H142*D142</f>
        <v>0</v>
      </c>
      <c r="L142" s="350">
        <f>G142+H142</f>
        <v>25000</v>
      </c>
      <c r="M142" s="351">
        <f>D142*L142</f>
        <v>25000</v>
      </c>
      <c r="N142" s="258"/>
      <c r="O142" s="258"/>
    </row>
    <row r="143" spans="1:15" s="297" customFormat="1" ht="14.15" customHeight="1" x14ac:dyDescent="0.3">
      <c r="A143" s="404"/>
      <c r="B143" s="455"/>
      <c r="C143" s="29"/>
      <c r="D143" s="1"/>
      <c r="E143" s="36"/>
      <c r="F143" s="41"/>
      <c r="G143" s="348"/>
      <c r="H143" s="348"/>
      <c r="I143" s="36"/>
      <c r="J143" s="36"/>
      <c r="K143" s="415"/>
      <c r="L143" s="350"/>
      <c r="M143" s="351"/>
      <c r="N143" s="258"/>
      <c r="O143" s="258"/>
    </row>
    <row r="144" spans="1:15" s="297" customFormat="1" ht="14.15" customHeight="1" x14ac:dyDescent="0.3">
      <c r="A144" s="416">
        <v>2.2000000000000002</v>
      </c>
      <c r="B144" s="455" t="s">
        <v>216</v>
      </c>
      <c r="C144" s="29"/>
      <c r="D144" s="1"/>
      <c r="E144" s="36"/>
      <c r="F144" s="41"/>
      <c r="G144" s="348"/>
      <c r="H144" s="348"/>
      <c r="I144" s="36"/>
      <c r="J144" s="36"/>
      <c r="K144" s="415">
        <f>H144*D144</f>
        <v>0</v>
      </c>
      <c r="L144" s="350"/>
      <c r="M144" s="351"/>
      <c r="N144" s="258"/>
      <c r="O144" s="258"/>
    </row>
    <row r="145" spans="1:15" s="297" customFormat="1" ht="14.15" customHeight="1" x14ac:dyDescent="0.3">
      <c r="A145" s="404" t="s">
        <v>217</v>
      </c>
      <c r="B145" s="443" t="s">
        <v>218</v>
      </c>
      <c r="C145" s="29" t="s">
        <v>42</v>
      </c>
      <c r="D145" s="1">
        <v>1</v>
      </c>
      <c r="E145" s="36">
        <f>15000</f>
        <v>15000</v>
      </c>
      <c r="F145" s="41">
        <v>0</v>
      </c>
      <c r="G145" s="348">
        <f>E145/(1-F145)</f>
        <v>15000</v>
      </c>
      <c r="H145" s="348">
        <v>0</v>
      </c>
      <c r="I145" s="36"/>
      <c r="J145" s="36"/>
      <c r="K145" s="415">
        <f>H145*D145</f>
        <v>0</v>
      </c>
      <c r="L145" s="350">
        <f>G145+H145</f>
        <v>15000</v>
      </c>
      <c r="M145" s="351">
        <f>D145*L145</f>
        <v>15000</v>
      </c>
      <c r="N145" s="258"/>
      <c r="O145" s="258"/>
    </row>
    <row r="146" spans="1:15" s="297" customFormat="1" ht="14.15" customHeight="1" x14ac:dyDescent="0.3">
      <c r="A146" s="404"/>
      <c r="B146" s="455"/>
      <c r="C146" s="29"/>
      <c r="D146" s="1"/>
      <c r="E146" s="36"/>
      <c r="F146" s="41"/>
      <c r="G146" s="348"/>
      <c r="H146" s="348"/>
      <c r="I146" s="36"/>
      <c r="J146" s="36"/>
      <c r="K146" s="415"/>
      <c r="L146" s="350"/>
      <c r="M146" s="351"/>
      <c r="N146" s="258"/>
      <c r="O146" s="258"/>
    </row>
    <row r="147" spans="1:15" s="297" customFormat="1" ht="14.15" customHeight="1" x14ac:dyDescent="0.3">
      <c r="A147" s="404">
        <v>2.21</v>
      </c>
      <c r="B147" s="455" t="s">
        <v>219</v>
      </c>
      <c r="C147" s="29"/>
      <c r="D147" s="1"/>
      <c r="E147" s="36"/>
      <c r="F147" s="41"/>
      <c r="G147" s="348"/>
      <c r="H147" s="348"/>
      <c r="I147" s="36"/>
      <c r="J147" s="36"/>
      <c r="K147" s="415">
        <f>H147*D147</f>
        <v>0</v>
      </c>
      <c r="L147" s="350"/>
      <c r="M147" s="351"/>
      <c r="N147" s="258"/>
      <c r="O147" s="258"/>
    </row>
    <row r="148" spans="1:15" ht="14.15" customHeight="1" x14ac:dyDescent="0.3">
      <c r="A148" s="404" t="s">
        <v>220</v>
      </c>
      <c r="B148" s="443" t="s">
        <v>221</v>
      </c>
      <c r="C148" s="29" t="s">
        <v>42</v>
      </c>
      <c r="D148" s="1">
        <v>1</v>
      </c>
      <c r="E148" s="36">
        <f>5000</f>
        <v>5000</v>
      </c>
      <c r="F148" s="41">
        <v>0</v>
      </c>
      <c r="G148" s="348">
        <f>E148/(1-F148)</f>
        <v>5000</v>
      </c>
      <c r="H148" s="348">
        <v>0</v>
      </c>
      <c r="I148" s="36"/>
      <c r="J148" s="36"/>
      <c r="K148" s="415">
        <f>H148*D148</f>
        <v>0</v>
      </c>
      <c r="L148" s="350">
        <f>G148+H148</f>
        <v>5000</v>
      </c>
      <c r="M148" s="351">
        <f>D148*L148</f>
        <v>5000</v>
      </c>
      <c r="N148" s="258"/>
      <c r="O148" s="258"/>
    </row>
    <row r="149" spans="1:15" ht="14.15" customHeight="1" x14ac:dyDescent="0.3">
      <c r="A149" s="404" t="s">
        <v>222</v>
      </c>
      <c r="B149" s="443" t="s">
        <v>223</v>
      </c>
      <c r="C149" s="29" t="s">
        <v>42</v>
      </c>
      <c r="D149" s="1">
        <v>1</v>
      </c>
      <c r="E149" s="36">
        <f>50000</f>
        <v>50000</v>
      </c>
      <c r="F149" s="41">
        <v>0</v>
      </c>
      <c r="G149" s="348">
        <f>E149/(1-F149)</f>
        <v>50000</v>
      </c>
      <c r="H149" s="348">
        <v>0</v>
      </c>
      <c r="I149" s="36"/>
      <c r="J149" s="36"/>
      <c r="K149" s="415">
        <f>H149*D149</f>
        <v>0</v>
      </c>
      <c r="L149" s="350">
        <f>G149+H149</f>
        <v>50000</v>
      </c>
      <c r="M149" s="351">
        <f>D149*L149</f>
        <v>50000</v>
      </c>
      <c r="N149" s="258"/>
      <c r="O149" s="258"/>
    </row>
    <row r="150" spans="1:15" ht="14.15" customHeight="1" x14ac:dyDescent="0.3">
      <c r="A150" s="404"/>
      <c r="B150" s="413"/>
      <c r="C150" s="28"/>
      <c r="D150" s="1"/>
      <c r="E150" s="36"/>
      <c r="F150" s="41"/>
      <c r="G150" s="348"/>
      <c r="H150" s="348"/>
      <c r="I150" s="36"/>
      <c r="J150" s="36"/>
      <c r="K150" s="415"/>
      <c r="L150" s="350"/>
      <c r="M150" s="351"/>
      <c r="N150" s="258"/>
      <c r="O150" s="258"/>
    </row>
    <row r="151" spans="1:15" ht="14.15" customHeight="1" x14ac:dyDescent="0.3">
      <c r="A151" s="404">
        <v>2.2200000000000002</v>
      </c>
      <c r="B151" s="455" t="s">
        <v>224</v>
      </c>
      <c r="C151" s="28"/>
      <c r="D151" s="1"/>
      <c r="E151" s="36"/>
      <c r="F151" s="41"/>
      <c r="G151" s="348"/>
      <c r="H151" s="348"/>
      <c r="I151" s="36"/>
      <c r="J151" s="36"/>
      <c r="K151" s="415">
        <f>H151*D151</f>
        <v>0</v>
      </c>
      <c r="L151" s="350"/>
      <c r="M151" s="351"/>
      <c r="N151" s="258"/>
      <c r="O151" s="258"/>
    </row>
    <row r="152" spans="1:15" ht="14.15" customHeight="1" x14ac:dyDescent="0.3">
      <c r="A152" s="404"/>
      <c r="B152" s="413"/>
      <c r="C152" s="28"/>
      <c r="D152" s="1"/>
      <c r="E152" s="36"/>
      <c r="F152" s="41"/>
      <c r="G152" s="348"/>
      <c r="H152" s="348"/>
      <c r="I152" s="36"/>
      <c r="J152" s="36"/>
      <c r="K152" s="415">
        <f>H152*D152</f>
        <v>0</v>
      </c>
      <c r="L152" s="350"/>
      <c r="M152" s="351"/>
      <c r="N152" s="258"/>
      <c r="O152" s="258"/>
    </row>
    <row r="153" spans="1:15" ht="28" customHeight="1" x14ac:dyDescent="0.3">
      <c r="A153" s="404" t="s">
        <v>225</v>
      </c>
      <c r="B153" s="443" t="s">
        <v>226</v>
      </c>
      <c r="C153" s="1" t="s">
        <v>42</v>
      </c>
      <c r="D153" s="1">
        <v>1</v>
      </c>
      <c r="E153" s="36">
        <f>5000*3</f>
        <v>15000</v>
      </c>
      <c r="F153" s="41">
        <v>0.2</v>
      </c>
      <c r="G153" s="348">
        <f>E153/(1-F153)</f>
        <v>18750</v>
      </c>
      <c r="H153" s="348">
        <v>1</v>
      </c>
      <c r="I153" s="36"/>
      <c r="J153" s="36"/>
      <c r="K153" s="415">
        <f>H153*D153</f>
        <v>1</v>
      </c>
      <c r="L153" s="350">
        <f>G153+H153</f>
        <v>18751</v>
      </c>
      <c r="M153" s="351">
        <f>D153*L153</f>
        <v>18751</v>
      </c>
      <c r="N153" s="258"/>
      <c r="O153" s="258"/>
    </row>
    <row r="154" spans="1:15" ht="14.15" customHeight="1" x14ac:dyDescent="0.3">
      <c r="A154" s="404"/>
      <c r="B154" s="413"/>
      <c r="C154" s="28"/>
      <c r="D154" s="1"/>
      <c r="E154" s="36"/>
      <c r="F154" s="41"/>
      <c r="G154" s="348"/>
      <c r="H154" s="348"/>
      <c r="I154" s="36"/>
      <c r="J154" s="36"/>
      <c r="K154" s="417"/>
      <c r="L154" s="350"/>
      <c r="M154" s="418"/>
      <c r="N154" s="258"/>
      <c r="O154" s="258"/>
    </row>
    <row r="155" spans="1:15" ht="14.5" customHeight="1" thickBot="1" x14ac:dyDescent="0.35">
      <c r="A155" s="440"/>
      <c r="B155" s="413"/>
      <c r="C155" s="28"/>
      <c r="D155" s="1"/>
      <c r="E155" s="36"/>
      <c r="F155" s="41"/>
      <c r="G155" s="348"/>
      <c r="H155" s="348"/>
      <c r="I155" s="36"/>
      <c r="J155" s="36"/>
      <c r="K155" s="417"/>
      <c r="L155" s="350"/>
      <c r="M155" s="418"/>
      <c r="N155" s="258"/>
      <c r="O155" s="258"/>
    </row>
    <row r="156" spans="1:15" ht="18.75" customHeight="1" thickTop="1" x14ac:dyDescent="0.3">
      <c r="A156" s="419"/>
      <c r="B156" s="457" t="s">
        <v>227</v>
      </c>
      <c r="C156" s="2"/>
      <c r="D156" s="2"/>
      <c r="E156" s="39"/>
      <c r="F156" s="42"/>
      <c r="G156" s="421"/>
      <c r="H156" s="421"/>
      <c r="I156" s="39"/>
      <c r="J156" s="39"/>
      <c r="K156" s="422">
        <f>SUM(K11:K153)</f>
        <v>256874.75</v>
      </c>
      <c r="L156" s="458"/>
      <c r="M156" s="424">
        <f>SUM(M11:M155)</f>
        <v>9834272.6875833347</v>
      </c>
      <c r="N156" s="258"/>
      <c r="O156" s="258"/>
    </row>
    <row r="157" spans="1:15" ht="16.5" customHeight="1" x14ac:dyDescent="0.3">
      <c r="A157" s="426"/>
      <c r="B157" s="427"/>
      <c r="C157" s="257"/>
      <c r="D157" s="47"/>
      <c r="E157" s="250"/>
      <c r="F157" s="48"/>
      <c r="G157" s="428"/>
      <c r="H157" s="428"/>
      <c r="I157" s="250"/>
      <c r="J157" s="250"/>
      <c r="K157" s="429"/>
      <c r="L157" s="430"/>
      <c r="M157" s="431"/>
      <c r="N157" s="258"/>
      <c r="O157" s="258"/>
    </row>
    <row r="158" spans="1:15" ht="18.75" customHeight="1" x14ac:dyDescent="0.3">
      <c r="A158" s="258"/>
      <c r="B158" s="387"/>
      <c r="C158" s="34"/>
      <c r="D158" s="249"/>
      <c r="E158" s="249"/>
      <c r="F158" s="249"/>
      <c r="G158" s="432"/>
      <c r="H158" s="432"/>
      <c r="I158" s="249"/>
      <c r="J158" s="249"/>
      <c r="K158" s="432"/>
      <c r="L158" s="433"/>
      <c r="M158" s="434"/>
      <c r="N158" s="258"/>
      <c r="O158" s="258"/>
    </row>
    <row r="159" spans="1:15" ht="18.75" customHeight="1" x14ac:dyDescent="0.25">
      <c r="A159" s="258"/>
      <c r="B159" s="258"/>
      <c r="G159" s="258"/>
      <c r="H159" s="258"/>
      <c r="K159" s="258"/>
      <c r="L159" s="258"/>
      <c r="M159" s="258"/>
      <c r="N159" s="258"/>
      <c r="O159" s="258"/>
    </row>
    <row r="160" spans="1:15" ht="18.75" customHeight="1" x14ac:dyDescent="0.25">
      <c r="A160" s="258"/>
      <c r="B160" s="258"/>
      <c r="G160" s="258"/>
      <c r="H160" s="258"/>
      <c r="K160" s="258"/>
      <c r="L160" s="258"/>
      <c r="M160" s="258"/>
      <c r="N160" s="258"/>
      <c r="O160" s="258"/>
    </row>
    <row r="161" spans="1:15" ht="18.75" customHeight="1" x14ac:dyDescent="0.25">
      <c r="A161" s="258"/>
      <c r="B161" s="258"/>
      <c r="G161" s="258"/>
      <c r="H161" s="258"/>
      <c r="K161" s="258"/>
      <c r="L161" s="258"/>
      <c r="M161" s="258"/>
      <c r="N161" s="258"/>
      <c r="O161" s="258"/>
    </row>
    <row r="162" spans="1:15" ht="18.75" customHeight="1" x14ac:dyDescent="0.25">
      <c r="A162" s="258"/>
      <c r="B162" s="258"/>
      <c r="G162" s="258"/>
      <c r="H162" s="258"/>
      <c r="K162" s="258"/>
      <c r="L162" s="258"/>
      <c r="M162" s="258"/>
      <c r="N162" s="258"/>
      <c r="O162" s="258"/>
    </row>
    <row r="163" spans="1:15" ht="18.75" customHeight="1" x14ac:dyDescent="0.25">
      <c r="A163" s="258"/>
      <c r="B163" s="258"/>
      <c r="G163" s="258"/>
      <c r="H163" s="258"/>
      <c r="K163" s="258"/>
      <c r="L163" s="258"/>
      <c r="M163" s="258"/>
      <c r="N163" s="258"/>
      <c r="O163" s="258"/>
    </row>
    <row r="164" spans="1:15" ht="18.75" customHeight="1" x14ac:dyDescent="0.25">
      <c r="A164" s="258"/>
      <c r="B164" s="258"/>
      <c r="G164" s="258"/>
      <c r="H164" s="258"/>
      <c r="K164" s="258"/>
      <c r="L164" s="258"/>
      <c r="M164" s="258"/>
      <c r="N164" s="258"/>
      <c r="O164" s="258"/>
    </row>
    <row r="165" spans="1:15" ht="18.75" customHeight="1" x14ac:dyDescent="0.25">
      <c r="A165" s="258"/>
      <c r="B165" s="258"/>
      <c r="G165" s="258"/>
      <c r="H165" s="258"/>
      <c r="K165" s="258"/>
      <c r="L165" s="258"/>
      <c r="M165" s="258"/>
      <c r="N165" s="258"/>
      <c r="O165" s="258"/>
    </row>
    <row r="166" spans="1:15" ht="18.75" customHeight="1" x14ac:dyDescent="0.25">
      <c r="A166" s="258"/>
      <c r="B166" s="258"/>
      <c r="G166" s="258"/>
      <c r="H166" s="258"/>
      <c r="K166" s="258"/>
      <c r="L166" s="258"/>
      <c r="M166" s="258"/>
      <c r="N166" s="258"/>
      <c r="O166" s="258"/>
    </row>
    <row r="167" spans="1:15" ht="18.75" customHeight="1" x14ac:dyDescent="0.25">
      <c r="A167" s="258"/>
      <c r="B167" s="258"/>
      <c r="G167" s="258"/>
      <c r="H167" s="258"/>
      <c r="K167" s="258"/>
      <c r="L167" s="258"/>
      <c r="M167" s="258"/>
      <c r="N167" s="258"/>
      <c r="O167" s="258"/>
    </row>
    <row r="168" spans="1:15" s="8" customFormat="1" ht="18.75" customHeight="1" x14ac:dyDescent="0.25">
      <c r="A168" s="258"/>
      <c r="B168" s="435"/>
      <c r="C168" s="35"/>
      <c r="G168" s="258"/>
      <c r="H168" s="258"/>
      <c r="K168" s="258"/>
      <c r="L168" s="436"/>
      <c r="M168" s="437"/>
      <c r="N168" s="258"/>
      <c r="O168" s="258"/>
    </row>
    <row r="169" spans="1:15" s="8" customFormat="1" ht="18.75" customHeight="1" x14ac:dyDescent="0.25">
      <c r="A169" s="258"/>
      <c r="B169" s="435"/>
      <c r="C169" s="35"/>
      <c r="G169" s="258"/>
      <c r="H169" s="258"/>
      <c r="K169" s="258"/>
      <c r="L169" s="436"/>
      <c r="M169" s="437"/>
      <c r="N169" s="258"/>
      <c r="O169" s="258"/>
    </row>
    <row r="170" spans="1:15" s="8" customFormat="1" ht="18.75" customHeight="1" x14ac:dyDescent="0.25">
      <c r="A170" s="258"/>
      <c r="B170" s="435"/>
      <c r="C170" s="35"/>
      <c r="G170" s="258"/>
      <c r="H170" s="258"/>
      <c r="K170" s="258"/>
      <c r="L170" s="436"/>
      <c r="M170" s="437"/>
      <c r="N170" s="258"/>
      <c r="O170" s="258"/>
    </row>
    <row r="171" spans="1:15" s="8" customFormat="1" ht="18.75" customHeight="1" x14ac:dyDescent="0.25">
      <c r="A171" s="258"/>
      <c r="B171" s="435"/>
      <c r="C171" s="35"/>
      <c r="G171" s="258"/>
      <c r="H171" s="258"/>
      <c r="K171" s="258"/>
      <c r="L171" s="436"/>
      <c r="M171" s="437"/>
      <c r="N171" s="258"/>
      <c r="O171" s="258"/>
    </row>
    <row r="172" spans="1:15" s="8" customFormat="1" ht="18.75" customHeight="1" x14ac:dyDescent="0.25">
      <c r="A172" s="258"/>
      <c r="B172" s="435"/>
      <c r="C172" s="35"/>
      <c r="G172" s="258"/>
      <c r="H172" s="258"/>
      <c r="K172" s="258"/>
      <c r="L172" s="436"/>
      <c r="M172" s="437"/>
      <c r="N172" s="258"/>
      <c r="O172" s="258"/>
    </row>
    <row r="173" spans="1:15" s="8" customFormat="1" ht="18.75" customHeight="1" x14ac:dyDescent="0.25">
      <c r="A173" s="258"/>
      <c r="B173" s="435"/>
      <c r="C173" s="35"/>
      <c r="G173" s="258"/>
      <c r="H173" s="258"/>
      <c r="K173" s="258"/>
      <c r="L173" s="436"/>
      <c r="M173" s="437"/>
      <c r="N173" s="258"/>
      <c r="O173" s="258"/>
    </row>
    <row r="174" spans="1:15" s="8" customFormat="1" ht="18.75" customHeight="1" x14ac:dyDescent="0.25">
      <c r="A174" s="258"/>
      <c r="B174" s="435"/>
      <c r="C174" s="35"/>
      <c r="G174" s="258"/>
      <c r="H174" s="258"/>
      <c r="K174" s="258"/>
      <c r="L174" s="436"/>
      <c r="M174" s="437"/>
      <c r="N174" s="258"/>
      <c r="O174" s="258"/>
    </row>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174"/>
  <sheetViews>
    <sheetView view="pageBreakPreview" topLeftCell="H1" zoomScale="85" zoomScaleNormal="100" zoomScaleSheetLayoutView="85" workbookViewId="0">
      <pane ySplit="5" topLeftCell="A147" activePane="bottomLeft" state="frozen"/>
      <selection pane="bottomLeft" activeCell="B169" sqref="B169"/>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0" width="13.81640625" style="8" customWidth="1"/>
    <col min="11" max="11" width="14.81640625" style="8" bestFit="1" customWidth="1"/>
    <col min="12" max="12" width="13.54296875" style="295" bestFit="1"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5" t="s">
        <v>36</v>
      </c>
      <c r="E5" s="40" t="s">
        <v>72</v>
      </c>
      <c r="F5" s="82" t="s">
        <v>73</v>
      </c>
      <c r="G5" s="313" t="s">
        <v>74</v>
      </c>
      <c r="H5" s="314" t="s">
        <v>75</v>
      </c>
      <c r="I5" s="82" t="s">
        <v>73</v>
      </c>
      <c r="J5" s="315" t="s">
        <v>76</v>
      </c>
      <c r="K5" s="316"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347" t="s">
        <v>419</v>
      </c>
      <c r="C11" s="248" t="s">
        <v>85</v>
      </c>
      <c r="D11" s="105">
        <v>1</v>
      </c>
      <c r="E11" s="36">
        <f>1623.93*1.2</f>
        <v>1948.7159999999999</v>
      </c>
      <c r="F11" s="41">
        <v>0.25</v>
      </c>
      <c r="G11" s="348">
        <f>E11/(1-F11)</f>
        <v>2598.288</v>
      </c>
      <c r="H11" s="348">
        <v>350</v>
      </c>
      <c r="I11" s="83">
        <v>0.15</v>
      </c>
      <c r="J11" s="79">
        <f>H11*(1+I11)</f>
        <v>402.49999999999994</v>
      </c>
      <c r="K11" s="349">
        <f>J11*D11</f>
        <v>402.49999999999994</v>
      </c>
      <c r="L11" s="350">
        <f>G11+J11</f>
        <v>3000.788</v>
      </c>
      <c r="M11" s="351">
        <f>D11*L11</f>
        <v>3000.788</v>
      </c>
      <c r="N11" s="258"/>
      <c r="O11" s="258"/>
    </row>
    <row r="12" spans="1:15" ht="14.5" customHeight="1" thickBot="1" x14ac:dyDescent="0.35">
      <c r="A12" s="354"/>
      <c r="B12" s="441"/>
      <c r="C12" s="89"/>
      <c r="D12" s="72"/>
      <c r="E12" s="73"/>
      <c r="F12" s="74"/>
      <c r="G12" s="356"/>
      <c r="H12" s="356"/>
      <c r="I12" s="73"/>
      <c r="J12" s="73"/>
      <c r="K12" s="357"/>
      <c r="L12" s="358"/>
      <c r="M12" s="358"/>
      <c r="N12" s="258"/>
      <c r="O12" s="258"/>
    </row>
    <row r="13" spans="1:15" ht="14.15" customHeight="1" x14ac:dyDescent="0.3">
      <c r="A13" s="359" t="s">
        <v>86</v>
      </c>
      <c r="B13" s="360"/>
      <c r="C13" s="55"/>
      <c r="D13" s="58" t="s">
        <v>87</v>
      </c>
      <c r="E13" s="56"/>
      <c r="F13" s="57"/>
      <c r="G13" s="361"/>
      <c r="H13" s="361"/>
      <c r="I13" s="56"/>
      <c r="J13" s="56"/>
      <c r="K13" s="362"/>
      <c r="L13" s="363"/>
      <c r="M13" s="363"/>
      <c r="N13" s="258"/>
      <c r="O13" s="258"/>
    </row>
    <row r="14" spans="1:15" ht="14.5" customHeight="1" thickBot="1" x14ac:dyDescent="0.35">
      <c r="A14" s="341" t="s">
        <v>88</v>
      </c>
      <c r="B14" s="517" t="s">
        <v>420</v>
      </c>
      <c r="C14" s="85" t="s">
        <v>85</v>
      </c>
      <c r="D14" s="106">
        <v>2</v>
      </c>
      <c r="E14" s="36">
        <v>487501.10399999999</v>
      </c>
      <c r="F14" s="41">
        <v>0.2</v>
      </c>
      <c r="G14" s="348">
        <f>E14/(1-F14)</f>
        <v>609376.38</v>
      </c>
      <c r="H14" s="348">
        <f>(550*8)+3600</f>
        <v>8000</v>
      </c>
      <c r="I14" s="83">
        <v>0.15</v>
      </c>
      <c r="J14" s="79">
        <f>H14*(1+I14)</f>
        <v>9200</v>
      </c>
      <c r="K14" s="349">
        <f>J14*D14</f>
        <v>18400</v>
      </c>
      <c r="L14" s="350">
        <f>G14+J14</f>
        <v>618576.38</v>
      </c>
      <c r="M14" s="351">
        <f>D14*L14</f>
        <v>1237152.76</v>
      </c>
      <c r="N14" s="258"/>
      <c r="O14" s="258"/>
    </row>
    <row r="15" spans="1:15" ht="14.5" customHeight="1" thickBot="1" x14ac:dyDescent="0.35">
      <c r="A15" s="354"/>
      <c r="B15" s="441"/>
      <c r="C15" s="89"/>
      <c r="D15" s="72"/>
      <c r="E15" s="73"/>
      <c r="F15" s="74"/>
      <c r="G15" s="356"/>
      <c r="H15" s="356"/>
      <c r="I15" s="73"/>
      <c r="J15" s="73"/>
      <c r="K15" s="357"/>
      <c r="L15" s="358"/>
      <c r="M15" s="358"/>
      <c r="N15" s="258"/>
      <c r="O15" s="258"/>
    </row>
    <row r="16" spans="1:15" ht="14.15" customHeight="1" x14ac:dyDescent="0.3">
      <c r="A16" s="359">
        <v>2.2999999999999998</v>
      </c>
      <c r="B16" s="367"/>
      <c r="C16" s="55"/>
      <c r="D16" s="58" t="s">
        <v>91</v>
      </c>
      <c r="E16" s="56"/>
      <c r="F16" s="57"/>
      <c r="G16" s="361"/>
      <c r="H16" s="361"/>
      <c r="I16" s="56"/>
      <c r="J16" s="56"/>
      <c r="K16" s="362"/>
      <c r="L16" s="363"/>
      <c r="M16" s="363"/>
      <c r="N16" s="258"/>
      <c r="O16" s="258"/>
    </row>
    <row r="17" spans="1:15" ht="14.5" customHeight="1" thickBot="1" x14ac:dyDescent="0.35">
      <c r="A17" s="341" t="s">
        <v>92</v>
      </c>
      <c r="B17" s="446" t="s">
        <v>421</v>
      </c>
      <c r="C17" s="85" t="s">
        <v>85</v>
      </c>
      <c r="D17" s="50">
        <v>2</v>
      </c>
      <c r="E17" s="51">
        <v>90693.34</v>
      </c>
      <c r="F17" s="41">
        <v>0.2</v>
      </c>
      <c r="G17" s="348">
        <f>E17/(1-F17)</f>
        <v>113366.67499999999</v>
      </c>
      <c r="H17" s="348">
        <f>(550*4)+3500</f>
        <v>5700</v>
      </c>
      <c r="I17" s="83">
        <v>0.15</v>
      </c>
      <c r="J17" s="79">
        <f>H17*(1+I17)</f>
        <v>6554.9999999999991</v>
      </c>
      <c r="K17" s="349">
        <f>J17*D17</f>
        <v>13109.999999999998</v>
      </c>
      <c r="L17" s="350">
        <f>G17+J17</f>
        <v>119921.67499999999</v>
      </c>
      <c r="M17" s="351">
        <f>D17*L17</f>
        <v>239843.34999999998</v>
      </c>
      <c r="N17" s="258"/>
      <c r="O17" s="258"/>
    </row>
    <row r="18" spans="1:15" ht="14.5" customHeight="1" thickBot="1" x14ac:dyDescent="0.35">
      <c r="A18" s="341" t="s">
        <v>94</v>
      </c>
      <c r="B18" s="444" t="s">
        <v>422</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436"/>
      <c r="O18" s="369"/>
    </row>
    <row r="19" spans="1:15" ht="14.15" customHeight="1" x14ac:dyDescent="0.3">
      <c r="A19" s="359">
        <v>2.4</v>
      </c>
      <c r="B19" s="360"/>
      <c r="C19" s="55"/>
      <c r="D19" s="58" t="s">
        <v>96</v>
      </c>
      <c r="E19" s="56"/>
      <c r="F19" s="57"/>
      <c r="G19" s="361"/>
      <c r="H19" s="361"/>
      <c r="I19" s="56"/>
      <c r="J19" s="56"/>
      <c r="K19" s="362"/>
      <c r="L19" s="363"/>
      <c r="M19" s="363"/>
      <c r="N19" s="258"/>
      <c r="O19" s="258"/>
    </row>
    <row r="20" spans="1:15" ht="28" customHeight="1" x14ac:dyDescent="0.3">
      <c r="A20" s="370" t="s">
        <v>97</v>
      </c>
      <c r="B20" s="445" t="s">
        <v>423</v>
      </c>
      <c r="C20" s="7" t="s">
        <v>85</v>
      </c>
      <c r="D20" s="7">
        <v>3</v>
      </c>
      <c r="E20" s="37">
        <v>1087743.0959999999</v>
      </c>
      <c r="F20" s="41">
        <v>0.2</v>
      </c>
      <c r="G20" s="348">
        <f>E20/(1-F20)</f>
        <v>1359678.8699999999</v>
      </c>
      <c r="H20" s="371">
        <f>(550*8)+3600</f>
        <v>8000</v>
      </c>
      <c r="I20" s="83">
        <v>0.15</v>
      </c>
      <c r="J20" s="79">
        <f>H20*(1+I20)</f>
        <v>9200</v>
      </c>
      <c r="K20" s="349">
        <f>J20*D20</f>
        <v>27600</v>
      </c>
      <c r="L20" s="350">
        <f>G20+J20</f>
        <v>1368878.8699999999</v>
      </c>
      <c r="M20" s="351">
        <f>D20*L20</f>
        <v>4106636.6099999994</v>
      </c>
      <c r="N20" s="258"/>
      <c r="O20" s="258"/>
    </row>
    <row r="21" spans="1:15" ht="14.15" customHeight="1" x14ac:dyDescent="0.3">
      <c r="A21" s="370"/>
      <c r="B21" s="443"/>
      <c r="C21" s="7"/>
      <c r="D21" s="7"/>
      <c r="E21" s="37"/>
      <c r="F21" s="41"/>
      <c r="G21" s="348"/>
      <c r="H21" s="371"/>
      <c r="I21" s="66"/>
      <c r="J21" s="66"/>
      <c r="K21" s="349"/>
      <c r="L21" s="350"/>
      <c r="M21" s="351"/>
      <c r="N21" s="258"/>
      <c r="O21" s="258"/>
    </row>
    <row r="22" spans="1:15" ht="14.15" customHeight="1" x14ac:dyDescent="0.3">
      <c r="A22" s="370" t="s">
        <v>99</v>
      </c>
      <c r="B22" s="443"/>
      <c r="C22" s="7"/>
      <c r="D22" s="7"/>
      <c r="E22" s="37"/>
      <c r="F22" s="41"/>
      <c r="G22" s="348"/>
      <c r="H22" s="371"/>
      <c r="I22" s="66"/>
      <c r="J22" s="66"/>
      <c r="K22" s="349"/>
      <c r="L22" s="350"/>
      <c r="M22" s="351"/>
      <c r="N22" s="258"/>
      <c r="O22" s="258"/>
    </row>
    <row r="23" spans="1:15" ht="28.5" customHeight="1" thickBot="1" x14ac:dyDescent="0.35">
      <c r="A23" s="374"/>
      <c r="B23" s="446" t="s">
        <v>100</v>
      </c>
      <c r="C23" s="68" t="s">
        <v>85</v>
      </c>
      <c r="D23" s="68">
        <v>6</v>
      </c>
      <c r="E23" s="69">
        <f>1888.71*1.15</f>
        <v>2172.0164999999997</v>
      </c>
      <c r="F23" s="52">
        <v>0.2</v>
      </c>
      <c r="G23" s="376">
        <f>E23/(1-F23)</f>
        <v>2715.0206249999997</v>
      </c>
      <c r="H23" s="377">
        <f>250*1</f>
        <v>250</v>
      </c>
      <c r="I23" s="83">
        <v>0.15</v>
      </c>
      <c r="J23" s="79">
        <f>H23*(1+I23)</f>
        <v>287.5</v>
      </c>
      <c r="K23" s="349">
        <f>J23*D23</f>
        <v>1725</v>
      </c>
      <c r="L23" s="350">
        <f>G23+J23</f>
        <v>3002.5206249999997</v>
      </c>
      <c r="M23" s="378">
        <f>D23*L23</f>
        <v>18015.123749999999</v>
      </c>
      <c r="N23" s="258"/>
      <c r="O23" s="258"/>
    </row>
    <row r="24" spans="1:15" ht="14.5" customHeight="1" thickBot="1" x14ac:dyDescent="0.35">
      <c r="A24" s="354"/>
      <c r="B24" s="441"/>
      <c r="C24" s="89"/>
      <c r="D24" s="72"/>
      <c r="E24" s="73"/>
      <c r="F24" s="74"/>
      <c r="G24" s="356"/>
      <c r="H24" s="356"/>
      <c r="I24" s="73"/>
      <c r="J24" s="73"/>
      <c r="K24" s="357"/>
      <c r="L24" s="358"/>
      <c r="M24" s="358"/>
      <c r="N24" s="258"/>
      <c r="O24" s="258"/>
    </row>
    <row r="25" spans="1:15" ht="14.15" customHeight="1" x14ac:dyDescent="0.3">
      <c r="A25" s="379">
        <v>2.5</v>
      </c>
      <c r="B25" s="360"/>
      <c r="C25" s="55"/>
      <c r="D25" s="58" t="s">
        <v>101</v>
      </c>
      <c r="E25" s="56"/>
      <c r="F25" s="57"/>
      <c r="G25" s="361"/>
      <c r="H25" s="361"/>
      <c r="I25" s="56"/>
      <c r="J25" s="56"/>
      <c r="K25" s="362"/>
      <c r="L25" s="363"/>
      <c r="M25" s="363"/>
      <c r="N25" s="258"/>
      <c r="O25" s="258"/>
    </row>
    <row r="26" spans="1:15" ht="14.15" customHeight="1" x14ac:dyDescent="0.3">
      <c r="A26" s="380" t="s">
        <v>102</v>
      </c>
      <c r="B26" s="444" t="s">
        <v>103</v>
      </c>
      <c r="C26" s="7" t="s">
        <v>85</v>
      </c>
      <c r="D26" s="7">
        <f>D11</f>
        <v>1</v>
      </c>
      <c r="E26" s="37">
        <v>650</v>
      </c>
      <c r="F26" s="41">
        <v>0.2</v>
      </c>
      <c r="G26" s="348">
        <f>E26/(1-F26)</f>
        <v>812.5</v>
      </c>
      <c r="H26" s="371">
        <f>(((5*200)*4)*1.2)/D26</f>
        <v>4800</v>
      </c>
      <c r="I26" s="83">
        <v>0.15</v>
      </c>
      <c r="J26" s="79">
        <f>H26*(1+I26)</f>
        <v>5520</v>
      </c>
      <c r="K26" s="349">
        <f>J26*D26</f>
        <v>5520</v>
      </c>
      <c r="L26" s="350">
        <f>G26+J26</f>
        <v>6332.5</v>
      </c>
      <c r="M26" s="351">
        <f>D26*L26</f>
        <v>6332.5</v>
      </c>
      <c r="N26" s="258"/>
      <c r="O26" s="258"/>
    </row>
    <row r="27" spans="1:15" ht="14.5" customHeight="1" thickBot="1" x14ac:dyDescent="0.35">
      <c r="A27" s="381"/>
      <c r="B27" s="446" t="s">
        <v>104</v>
      </c>
      <c r="C27" s="85"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441"/>
      <c r="C28" s="89"/>
      <c r="D28" s="72"/>
      <c r="E28" s="73"/>
      <c r="F28" s="74"/>
      <c r="G28" s="356"/>
      <c r="H28" s="356"/>
      <c r="I28" s="73"/>
      <c r="J28" s="73"/>
      <c r="K28" s="357"/>
      <c r="L28" s="358"/>
      <c r="M28" s="358"/>
      <c r="N28" s="258"/>
      <c r="O28" s="258"/>
    </row>
    <row r="29" spans="1:15" ht="14.15" customHeight="1" x14ac:dyDescent="0.3">
      <c r="A29" s="359">
        <v>2.6</v>
      </c>
      <c r="B29" s="360"/>
      <c r="C29" s="55"/>
      <c r="D29" s="58" t="s">
        <v>105</v>
      </c>
      <c r="E29" s="56"/>
      <c r="F29" s="57"/>
      <c r="G29" s="361"/>
      <c r="H29" s="361"/>
      <c r="I29" s="56"/>
      <c r="J29" s="56"/>
      <c r="K29" s="362"/>
      <c r="L29" s="363"/>
      <c r="M29" s="363"/>
      <c r="N29" s="258"/>
      <c r="O29" s="258"/>
    </row>
    <row r="30" spans="1:15" ht="42" customHeight="1" x14ac:dyDescent="0.3">
      <c r="A30" s="341" t="s">
        <v>106</v>
      </c>
      <c r="B30" s="444" t="s">
        <v>107</v>
      </c>
      <c r="C30" s="248" t="s">
        <v>108</v>
      </c>
      <c r="D30" s="105">
        <v>0</v>
      </c>
      <c r="E30" s="36">
        <f>14.85*1.15</f>
        <v>17.077499999999997</v>
      </c>
      <c r="F30" s="41">
        <v>0.2</v>
      </c>
      <c r="G30" s="348">
        <f>E30/(1-F30)</f>
        <v>21.346874999999994</v>
      </c>
      <c r="H30" s="348">
        <f>39</f>
        <v>39</v>
      </c>
      <c r="I30" s="83">
        <v>0.15</v>
      </c>
      <c r="J30" s="79">
        <f>H30*(1+I30)</f>
        <v>44.849999999999994</v>
      </c>
      <c r="K30" s="349">
        <f>J30*D30</f>
        <v>0</v>
      </c>
      <c r="L30" s="350">
        <f>G30+J30</f>
        <v>66.196874999999991</v>
      </c>
      <c r="M30" s="351">
        <f>D30*L30</f>
        <v>0</v>
      </c>
      <c r="N30" s="258"/>
      <c r="O30" s="258"/>
    </row>
    <row r="31" spans="1:15" ht="14.15" customHeight="1" x14ac:dyDescent="0.3">
      <c r="A31" s="341" t="s">
        <v>109</v>
      </c>
      <c r="B31" s="443" t="s">
        <v>110</v>
      </c>
      <c r="C31" s="248" t="s">
        <v>108</v>
      </c>
      <c r="D31" s="1">
        <f>20 +N("1m * 20 cables")</f>
        <v>20</v>
      </c>
      <c r="E31" s="36">
        <f>180*1.15</f>
        <v>206.99999999999997</v>
      </c>
      <c r="F31" s="41">
        <v>0.2</v>
      </c>
      <c r="G31" s="348">
        <f>E31/(1-F31)</f>
        <v>258.74999999999994</v>
      </c>
      <c r="H31" s="348">
        <f>65</f>
        <v>65</v>
      </c>
      <c r="I31" s="83">
        <v>0.15</v>
      </c>
      <c r="J31" s="79">
        <f>H31*(1+I31)</f>
        <v>74.75</v>
      </c>
      <c r="K31" s="349">
        <f>J31*D31</f>
        <v>1495</v>
      </c>
      <c r="L31" s="350">
        <f>G31+J31</f>
        <v>333.49999999999994</v>
      </c>
      <c r="M31" s="351">
        <f>D31*L31</f>
        <v>6669.9999999999991</v>
      </c>
      <c r="N31" s="258"/>
      <c r="O31" s="258"/>
    </row>
    <row r="32" spans="1:15" ht="14.15" customHeight="1" x14ac:dyDescent="0.3">
      <c r="A32" s="341" t="s">
        <v>111</v>
      </c>
      <c r="B32" s="443" t="s">
        <v>112</v>
      </c>
      <c r="C32" s="248"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258"/>
    </row>
    <row r="33" spans="1:15" ht="14.5" customHeight="1" thickBot="1" x14ac:dyDescent="0.35">
      <c r="A33" s="381"/>
      <c r="B33" s="447" t="s">
        <v>113</v>
      </c>
      <c r="C33" s="85"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441"/>
      <c r="C34" s="89"/>
      <c r="D34" s="72"/>
      <c r="E34" s="73"/>
      <c r="F34" s="74"/>
      <c r="G34" s="356"/>
      <c r="H34" s="356"/>
      <c r="I34" s="73"/>
      <c r="J34" s="73"/>
      <c r="K34" s="357"/>
      <c r="L34" s="358"/>
      <c r="M34" s="358"/>
      <c r="N34" s="258"/>
      <c r="O34" s="258"/>
    </row>
    <row r="35" spans="1:15" ht="14.15" customHeight="1" x14ac:dyDescent="0.3">
      <c r="A35" s="359">
        <v>2.7</v>
      </c>
      <c r="B35" s="360"/>
      <c r="C35" s="55"/>
      <c r="D35" s="58" t="s">
        <v>114</v>
      </c>
      <c r="E35" s="56"/>
      <c r="F35" s="57"/>
      <c r="G35" s="361"/>
      <c r="H35" s="361"/>
      <c r="I35" s="56"/>
      <c r="J35" s="56"/>
      <c r="K35" s="362"/>
      <c r="L35" s="363"/>
      <c r="M35" s="363"/>
      <c r="N35" s="258"/>
      <c r="O35" s="258"/>
    </row>
    <row r="36" spans="1:15" ht="28" customHeight="1" x14ac:dyDescent="0.3">
      <c r="A36" s="370" t="s">
        <v>115</v>
      </c>
      <c r="B36" s="444" t="s">
        <v>116</v>
      </c>
      <c r="C36" s="7" t="s">
        <v>90</v>
      </c>
      <c r="D36" s="7">
        <v>0</v>
      </c>
      <c r="E36" s="37">
        <f>13501.37*1.2</f>
        <v>16201.644</v>
      </c>
      <c r="F36" s="41">
        <v>0.2</v>
      </c>
      <c r="G36" s="348">
        <f>E36/(1-F36)</f>
        <v>20252.055</v>
      </c>
      <c r="H36" s="371">
        <f>250*2</f>
        <v>500</v>
      </c>
      <c r="I36" s="83">
        <v>0.15</v>
      </c>
      <c r="J36" s="79">
        <f>H36*(1+I36)</f>
        <v>575</v>
      </c>
      <c r="K36" s="349">
        <f>J36*D36</f>
        <v>0</v>
      </c>
      <c r="L36" s="350">
        <f>G36+J36</f>
        <v>20827.055</v>
      </c>
      <c r="M36" s="351">
        <f>D36*L36</f>
        <v>0</v>
      </c>
      <c r="N36" s="258"/>
      <c r="O36" s="258"/>
    </row>
    <row r="37" spans="1:15" ht="28.5" customHeight="1" thickBot="1" x14ac:dyDescent="0.35">
      <c r="A37" s="381" t="s">
        <v>117</v>
      </c>
      <c r="B37" s="446" t="s">
        <v>424</v>
      </c>
      <c r="C37" s="68" t="s">
        <v>90</v>
      </c>
      <c r="D37" s="68">
        <v>6</v>
      </c>
      <c r="E37" s="69">
        <v>17000</v>
      </c>
      <c r="F37" s="52">
        <v>0.2</v>
      </c>
      <c r="G37" s="376">
        <f>E37/(1-F37)</f>
        <v>21250</v>
      </c>
      <c r="H37" s="377">
        <f>250*2</f>
        <v>500</v>
      </c>
      <c r="I37" s="83">
        <v>0.15</v>
      </c>
      <c r="J37" s="79">
        <f>H37*(1+I37)</f>
        <v>575</v>
      </c>
      <c r="K37" s="382">
        <f>J37*D37</f>
        <v>3450</v>
      </c>
      <c r="L37" s="350">
        <f>G37+J37</f>
        <v>21825</v>
      </c>
      <c r="M37" s="378">
        <f>D37*L37</f>
        <v>130950</v>
      </c>
      <c r="N37" s="258"/>
      <c r="O37" s="258"/>
    </row>
    <row r="38" spans="1:15" ht="14.5" customHeight="1" thickBot="1" x14ac:dyDescent="0.35">
      <c r="A38" s="354"/>
      <c r="B38" s="441"/>
      <c r="C38" s="89"/>
      <c r="D38" s="72"/>
      <c r="E38" s="73"/>
      <c r="F38" s="74"/>
      <c r="G38" s="356"/>
      <c r="H38" s="356"/>
      <c r="I38" s="73"/>
      <c r="J38" s="73"/>
      <c r="K38" s="357"/>
      <c r="L38" s="358"/>
      <c r="M38" s="358"/>
      <c r="N38" s="258"/>
      <c r="O38" s="258"/>
    </row>
    <row r="39" spans="1:15" ht="16.5" customHeight="1" x14ac:dyDescent="0.3">
      <c r="A39" s="359">
        <v>2.8</v>
      </c>
      <c r="B39" s="360"/>
      <c r="C39" s="55"/>
      <c r="D39" s="58" t="s">
        <v>119</v>
      </c>
      <c r="E39" s="56"/>
      <c r="F39" s="57"/>
      <c r="G39" s="361"/>
      <c r="H39" s="361"/>
      <c r="I39" s="56"/>
      <c r="J39" s="56"/>
      <c r="K39" s="362"/>
      <c r="L39" s="363"/>
      <c r="M39" s="363"/>
      <c r="N39" s="258"/>
      <c r="O39" s="258"/>
    </row>
    <row r="40" spans="1:15" ht="16.5" customHeight="1" x14ac:dyDescent="0.3">
      <c r="A40" s="384"/>
      <c r="B40" s="342"/>
      <c r="C40" s="248"/>
      <c r="D40" s="1"/>
      <c r="E40" s="36"/>
      <c r="F40" s="41"/>
      <c r="G40" s="348"/>
      <c r="H40" s="348"/>
      <c r="I40" s="83"/>
      <c r="J40" s="79"/>
      <c r="K40" s="349"/>
      <c r="L40" s="350"/>
      <c r="M40" s="351"/>
      <c r="N40" s="258"/>
      <c r="O40" s="258"/>
    </row>
    <row r="41" spans="1:15" ht="14.15" customHeight="1" x14ac:dyDescent="0.3">
      <c r="A41" s="341" t="s">
        <v>120</v>
      </c>
      <c r="B41" s="385" t="s">
        <v>121</v>
      </c>
      <c r="C41" s="248" t="s">
        <v>85</v>
      </c>
      <c r="D41" s="1">
        <v>3</v>
      </c>
      <c r="E41" s="36">
        <v>2500</v>
      </c>
      <c r="F41" s="41">
        <v>0.2</v>
      </c>
      <c r="G41" s="348">
        <f>E41/(1-F41)</f>
        <v>3125</v>
      </c>
      <c r="H41" s="348">
        <f>(250+100)*4</f>
        <v>1400</v>
      </c>
      <c r="I41" s="83">
        <v>0.15</v>
      </c>
      <c r="J41" s="79">
        <f>H41*(1+I41)</f>
        <v>1609.9999999999998</v>
      </c>
      <c r="K41" s="349">
        <f>J41*D41</f>
        <v>4829.9999999999991</v>
      </c>
      <c r="L41" s="350">
        <f>G41+J41</f>
        <v>4735</v>
      </c>
      <c r="M41" s="351">
        <f>D41*L41</f>
        <v>14205</v>
      </c>
      <c r="N41" s="258"/>
      <c r="O41" s="258"/>
    </row>
    <row r="42" spans="1:15" ht="14.15" customHeight="1" x14ac:dyDescent="0.3">
      <c r="A42" s="341"/>
      <c r="B42" s="448"/>
      <c r="C42" s="88"/>
      <c r="D42" s="1"/>
      <c r="E42" s="36"/>
      <c r="F42" s="41"/>
      <c r="G42" s="348"/>
      <c r="H42" s="348"/>
      <c r="I42" s="79"/>
      <c r="J42" s="79"/>
      <c r="K42" s="349"/>
      <c r="L42" s="350"/>
      <c r="M42" s="351"/>
      <c r="N42" s="258"/>
      <c r="O42" s="258"/>
    </row>
    <row r="43" spans="1:15" ht="14.15" customHeight="1" x14ac:dyDescent="0.3">
      <c r="A43" s="341" t="s">
        <v>122</v>
      </c>
      <c r="B43" s="385" t="s">
        <v>123</v>
      </c>
      <c r="C43" s="248" t="s">
        <v>85</v>
      </c>
      <c r="D43" s="1">
        <f>6 + N("Isolator on each inverter in and out") + 10 + N("For labs")</f>
        <v>16</v>
      </c>
      <c r="E43" s="36">
        <v>1800</v>
      </c>
      <c r="F43" s="41">
        <v>0.2</v>
      </c>
      <c r="G43" s="348">
        <f>E43/(1-F43)</f>
        <v>2250</v>
      </c>
      <c r="H43" s="348">
        <f>(250+100)*4</f>
        <v>1400</v>
      </c>
      <c r="I43" s="83">
        <v>0.15</v>
      </c>
      <c r="J43" s="79">
        <f>H43*(1+I43)</f>
        <v>1609.9999999999998</v>
      </c>
      <c r="K43" s="349">
        <f>J43*D43</f>
        <v>25759.999999999996</v>
      </c>
      <c r="L43" s="350">
        <f>G43+J43</f>
        <v>3860</v>
      </c>
      <c r="M43" s="351">
        <f>D43*L43</f>
        <v>61760</v>
      </c>
      <c r="N43" s="258"/>
      <c r="O43" s="258"/>
    </row>
    <row r="44" spans="1:15" ht="14.15" customHeight="1" x14ac:dyDescent="0.3">
      <c r="A44" s="341"/>
      <c r="B44" s="385"/>
      <c r="C44" s="248"/>
      <c r="D44" s="1"/>
      <c r="E44" s="36"/>
      <c r="F44" s="41"/>
      <c r="G44" s="348"/>
      <c r="H44" s="348"/>
      <c r="I44" s="79"/>
      <c r="J44" s="79"/>
      <c r="K44" s="349"/>
      <c r="L44" s="350"/>
      <c r="M44" s="351"/>
      <c r="N44" s="258"/>
      <c r="O44" s="258"/>
    </row>
    <row r="45" spans="1:15" ht="14.15" customHeight="1" x14ac:dyDescent="0.3">
      <c r="A45" s="341" t="s">
        <v>124</v>
      </c>
      <c r="B45" s="385" t="s">
        <v>125</v>
      </c>
      <c r="C45" s="248" t="s">
        <v>85</v>
      </c>
      <c r="D45" s="1">
        <v>10</v>
      </c>
      <c r="E45" s="36">
        <f>550*1.2</f>
        <v>660</v>
      </c>
      <c r="F45" s="41">
        <v>0.2</v>
      </c>
      <c r="G45" s="348">
        <f>E45/(1-F45)</f>
        <v>825</v>
      </c>
      <c r="H45" s="348">
        <f>(250+100)*4</f>
        <v>1400</v>
      </c>
      <c r="I45" s="83">
        <v>0.15</v>
      </c>
      <c r="J45" s="79">
        <f>H45*(1+I45)</f>
        <v>1609.9999999999998</v>
      </c>
      <c r="K45" s="349">
        <f>J45*D45</f>
        <v>16099.999999999998</v>
      </c>
      <c r="L45" s="350">
        <f>G45+J45</f>
        <v>2435</v>
      </c>
      <c r="M45" s="351">
        <f>D45*L45</f>
        <v>24350</v>
      </c>
      <c r="N45" s="258"/>
      <c r="O45" s="258"/>
    </row>
    <row r="46" spans="1:15" ht="14.15" customHeight="1" x14ac:dyDescent="0.3">
      <c r="A46" s="341"/>
      <c r="B46" s="387"/>
      <c r="C46" s="88"/>
      <c r="D46" s="1"/>
      <c r="E46" s="36"/>
      <c r="F46" s="41"/>
      <c r="G46" s="348"/>
      <c r="H46" s="348"/>
      <c r="I46" s="79"/>
      <c r="J46" s="79"/>
      <c r="K46" s="349"/>
      <c r="L46" s="350"/>
      <c r="M46" s="351"/>
      <c r="N46" s="258"/>
      <c r="O46" s="258"/>
    </row>
    <row r="47" spans="1:15" ht="14.5" customHeight="1" thickBot="1" x14ac:dyDescent="0.35">
      <c r="A47" s="381" t="s">
        <v>126</v>
      </c>
      <c r="B47" s="388" t="s">
        <v>127</v>
      </c>
      <c r="C47" s="85" t="s">
        <v>85</v>
      </c>
      <c r="D47" s="50">
        <v>0</v>
      </c>
      <c r="E47" s="51">
        <f>550*1.2</f>
        <v>660</v>
      </c>
      <c r="F47" s="52">
        <v>0.2</v>
      </c>
      <c r="G47" s="376">
        <f>E47/(1-F47)</f>
        <v>825</v>
      </c>
      <c r="H47" s="376">
        <f>(250+100)*4</f>
        <v>1400</v>
      </c>
      <c r="I47" s="83">
        <v>0.15</v>
      </c>
      <c r="J47" s="79">
        <f>H47*(1+I47)</f>
        <v>1609.9999999999998</v>
      </c>
      <c r="K47" s="349">
        <f>J47*D47</f>
        <v>0</v>
      </c>
      <c r="L47" s="350">
        <f>G47+J47</f>
        <v>2435</v>
      </c>
      <c r="M47" s="378">
        <f>D47*L47</f>
        <v>0</v>
      </c>
      <c r="N47" s="258"/>
      <c r="O47" s="258"/>
    </row>
    <row r="48" spans="1:15" ht="14.5" customHeight="1" thickBot="1" x14ac:dyDescent="0.35">
      <c r="A48" s="354"/>
      <c r="B48" s="441"/>
      <c r="C48" s="89"/>
      <c r="D48" s="72"/>
      <c r="E48" s="73"/>
      <c r="F48" s="74"/>
      <c r="G48" s="356"/>
      <c r="H48" s="356"/>
      <c r="I48" s="73"/>
      <c r="J48" s="73"/>
      <c r="K48" s="357"/>
      <c r="L48" s="358"/>
      <c r="M48" s="358"/>
      <c r="N48" s="258"/>
      <c r="O48" s="258"/>
    </row>
    <row r="49" spans="1:15" ht="16.5" customHeight="1" x14ac:dyDescent="0.3">
      <c r="A49" s="359">
        <v>2.9</v>
      </c>
      <c r="B49" s="367"/>
      <c r="C49" s="55"/>
      <c r="D49" s="58" t="s">
        <v>128</v>
      </c>
      <c r="E49" s="56"/>
      <c r="F49" s="57"/>
      <c r="G49" s="361"/>
      <c r="H49" s="361"/>
      <c r="I49" s="56"/>
      <c r="J49" s="56"/>
      <c r="K49" s="362"/>
      <c r="L49" s="363"/>
      <c r="M49" s="363"/>
      <c r="N49" s="258"/>
      <c r="O49" s="258"/>
    </row>
    <row r="50" spans="1:15" ht="16.5" customHeight="1" x14ac:dyDescent="0.3">
      <c r="A50" s="341"/>
      <c r="B50" s="342"/>
      <c r="C50" s="248"/>
      <c r="D50" s="1"/>
      <c r="E50" s="36"/>
      <c r="F50" s="41"/>
      <c r="G50" s="348"/>
      <c r="H50" s="348"/>
      <c r="I50" s="79"/>
      <c r="J50" s="79"/>
      <c r="K50" s="349"/>
      <c r="L50" s="350"/>
      <c r="M50" s="351"/>
      <c r="N50" s="258"/>
      <c r="O50" s="258"/>
    </row>
    <row r="51" spans="1:15" ht="14.15" customHeight="1" x14ac:dyDescent="0.3">
      <c r="A51" s="341" t="s">
        <v>129</v>
      </c>
      <c r="B51" s="385" t="s">
        <v>130</v>
      </c>
      <c r="C51" s="248" t="s">
        <v>85</v>
      </c>
      <c r="D51" s="1">
        <v>10</v>
      </c>
      <c r="E51" s="36">
        <v>2500</v>
      </c>
      <c r="F51" s="41">
        <v>0.2</v>
      </c>
      <c r="G51" s="348">
        <f>E51/(1-F51)</f>
        <v>3125</v>
      </c>
      <c r="H51" s="348">
        <f>250*1</f>
        <v>250</v>
      </c>
      <c r="I51" s="83">
        <v>0.15</v>
      </c>
      <c r="J51" s="79">
        <f>H51*(1+I51)</f>
        <v>287.5</v>
      </c>
      <c r="K51" s="349">
        <f>J51*D51</f>
        <v>2875</v>
      </c>
      <c r="L51" s="350">
        <f>G51+J51</f>
        <v>3412.5</v>
      </c>
      <c r="M51" s="351">
        <f>D51*L51</f>
        <v>34125</v>
      </c>
      <c r="N51" s="258"/>
      <c r="O51" s="258"/>
    </row>
    <row r="52" spans="1:15" ht="14.15" customHeight="1" x14ac:dyDescent="0.3">
      <c r="A52" s="341"/>
      <c r="B52" s="385"/>
      <c r="C52" s="248"/>
      <c r="D52" s="1"/>
      <c r="E52" s="36"/>
      <c r="F52" s="41"/>
      <c r="G52" s="348"/>
      <c r="H52" s="348"/>
      <c r="I52" s="79"/>
      <c r="J52" s="79"/>
      <c r="K52" s="349"/>
      <c r="L52" s="350"/>
      <c r="M52" s="351"/>
      <c r="N52" s="258"/>
      <c r="O52" s="258"/>
    </row>
    <row r="53" spans="1:15" ht="14.15" customHeight="1" x14ac:dyDescent="0.3">
      <c r="A53" s="341" t="s">
        <v>131</v>
      </c>
      <c r="B53" s="385" t="s">
        <v>132</v>
      </c>
      <c r="C53" s="248" t="s">
        <v>85</v>
      </c>
      <c r="D53" s="1">
        <v>16</v>
      </c>
      <c r="E53" s="36">
        <v>5729</v>
      </c>
      <c r="F53" s="41">
        <v>0.2</v>
      </c>
      <c r="G53" s="348">
        <f>E53/(1-F53)</f>
        <v>7161.25</v>
      </c>
      <c r="H53" s="348">
        <v>250</v>
      </c>
      <c r="I53" s="83">
        <v>0.15</v>
      </c>
      <c r="J53" s="79">
        <f>H53*(1+I53)</f>
        <v>287.5</v>
      </c>
      <c r="K53" s="349">
        <f>J53*D53</f>
        <v>4600</v>
      </c>
      <c r="L53" s="350">
        <f>G53+J53</f>
        <v>7448.75</v>
      </c>
      <c r="M53" s="351">
        <f>D53*L53</f>
        <v>119180</v>
      </c>
      <c r="N53" s="258"/>
      <c r="O53" s="258"/>
    </row>
    <row r="54" spans="1:15" ht="14.15" customHeight="1" x14ac:dyDescent="0.3">
      <c r="A54" s="341"/>
      <c r="B54" s="387"/>
      <c r="C54" s="88"/>
      <c r="D54" s="1"/>
      <c r="E54" s="36"/>
      <c r="F54" s="41"/>
      <c r="G54" s="348"/>
      <c r="H54" s="348"/>
      <c r="I54" s="79"/>
      <c r="J54" s="79"/>
      <c r="K54" s="349"/>
      <c r="L54" s="350"/>
      <c r="M54" s="351"/>
      <c r="N54" s="258"/>
      <c r="O54" s="258"/>
    </row>
    <row r="55" spans="1:15" ht="14.15" customHeight="1" x14ac:dyDescent="0.3">
      <c r="A55" s="341" t="s">
        <v>133</v>
      </c>
      <c r="B55" s="387" t="s">
        <v>134</v>
      </c>
      <c r="C55" s="248" t="s">
        <v>85</v>
      </c>
      <c r="D55" s="1">
        <v>26</v>
      </c>
      <c r="E55" s="36">
        <f>5729</f>
        <v>5729</v>
      </c>
      <c r="F55" s="41">
        <v>0.2</v>
      </c>
      <c r="G55" s="348">
        <f>E55/(1-F55)</f>
        <v>7161.25</v>
      </c>
      <c r="H55" s="348">
        <v>250</v>
      </c>
      <c r="I55" s="83">
        <v>0.15</v>
      </c>
      <c r="J55" s="79">
        <f>H55*(1+I55)</f>
        <v>287.5</v>
      </c>
      <c r="K55" s="349">
        <f>J55*D55</f>
        <v>7475</v>
      </c>
      <c r="L55" s="350">
        <f>G55+J55</f>
        <v>7448.75</v>
      </c>
      <c r="M55" s="351">
        <f>D55*L55</f>
        <v>193667.5</v>
      </c>
      <c r="N55" s="258"/>
      <c r="O55" s="258"/>
    </row>
    <row r="56" spans="1:15" ht="14.15" customHeight="1" x14ac:dyDescent="0.3">
      <c r="A56" s="341"/>
      <c r="B56" s="387"/>
      <c r="C56" s="248"/>
      <c r="D56" s="1"/>
      <c r="E56" s="36"/>
      <c r="F56" s="41"/>
      <c r="G56" s="348"/>
      <c r="H56" s="348"/>
      <c r="I56" s="83"/>
      <c r="J56" s="79"/>
      <c r="K56" s="349"/>
      <c r="L56" s="350"/>
      <c r="M56" s="351"/>
      <c r="N56" s="258"/>
      <c r="O56" s="258"/>
    </row>
    <row r="57" spans="1:15" ht="14.15" customHeight="1" x14ac:dyDescent="0.3">
      <c r="A57" s="341"/>
      <c r="B57" s="385" t="s">
        <v>425</v>
      </c>
      <c r="C57" s="248" t="s">
        <v>85</v>
      </c>
      <c r="D57" s="1">
        <v>3</v>
      </c>
      <c r="E57" s="36">
        <f>40000*1.2</f>
        <v>48000</v>
      </c>
      <c r="F57" s="41">
        <v>0.2</v>
      </c>
      <c r="G57" s="348">
        <f>E57/(1-F57)</f>
        <v>60000</v>
      </c>
      <c r="H57" s="348">
        <v>250</v>
      </c>
      <c r="I57" s="83">
        <v>0.15</v>
      </c>
      <c r="J57" s="79">
        <f>H57*(1+I57)</f>
        <v>287.5</v>
      </c>
      <c r="K57" s="349">
        <f>J57*D57</f>
        <v>862.5</v>
      </c>
      <c r="L57" s="350">
        <f>G57+J57</f>
        <v>60287.5</v>
      </c>
      <c r="M57" s="351">
        <f>D57*L57</f>
        <v>180862.5</v>
      </c>
      <c r="N57" s="258"/>
      <c r="O57" s="258"/>
    </row>
    <row r="58" spans="1:15" ht="14.15" customHeight="1" x14ac:dyDescent="0.3">
      <c r="A58" s="341"/>
      <c r="B58" s="387"/>
      <c r="C58" s="87"/>
      <c r="D58" s="1"/>
      <c r="E58" s="36"/>
      <c r="F58" s="41"/>
      <c r="G58" s="348"/>
      <c r="H58" s="348"/>
      <c r="I58" s="79"/>
      <c r="J58" s="79"/>
      <c r="K58" s="349"/>
      <c r="L58" s="350"/>
      <c r="M58" s="351"/>
      <c r="N58" s="258"/>
      <c r="O58" s="258"/>
    </row>
    <row r="59" spans="1:15" ht="14.15" customHeight="1" x14ac:dyDescent="0.3">
      <c r="A59" s="341"/>
      <c r="B59" s="385" t="s">
        <v>426</v>
      </c>
      <c r="C59" s="87" t="s">
        <v>427</v>
      </c>
      <c r="D59" s="1">
        <v>1</v>
      </c>
      <c r="E59" s="36">
        <v>50000</v>
      </c>
      <c r="F59" s="41">
        <v>0.2</v>
      </c>
      <c r="G59" s="348">
        <f>E59/(1-F59)</f>
        <v>62500</v>
      </c>
      <c r="H59" s="348">
        <v>250</v>
      </c>
      <c r="I59" s="83">
        <v>0.15</v>
      </c>
      <c r="J59" s="79">
        <f>H59*(1+I59)</f>
        <v>287.5</v>
      </c>
      <c r="K59" s="349">
        <f>J59*D59</f>
        <v>287.5</v>
      </c>
      <c r="L59" s="350">
        <f>G59+J59</f>
        <v>62787.5</v>
      </c>
      <c r="M59" s="351">
        <f>D59*L59</f>
        <v>62787.5</v>
      </c>
      <c r="N59" s="258"/>
      <c r="O59" s="258"/>
    </row>
    <row r="60" spans="1:15" ht="14.15" customHeight="1" x14ac:dyDescent="0.3">
      <c r="A60" s="341"/>
      <c r="B60" s="387"/>
      <c r="C60" s="87"/>
      <c r="D60" s="1"/>
      <c r="E60" s="36"/>
      <c r="F60" s="41"/>
      <c r="G60" s="348"/>
      <c r="H60" s="348"/>
      <c r="I60" s="79"/>
      <c r="J60" s="79"/>
      <c r="K60" s="349"/>
      <c r="L60" s="350"/>
      <c r="M60" s="351"/>
      <c r="N60" s="258"/>
      <c r="O60" s="258"/>
    </row>
    <row r="61" spans="1:15" ht="28" customHeight="1" x14ac:dyDescent="0.3">
      <c r="A61" s="341" t="s">
        <v>135</v>
      </c>
      <c r="B61" s="385" t="s">
        <v>136</v>
      </c>
      <c r="C61" s="248" t="s">
        <v>85</v>
      </c>
      <c r="D61" s="1">
        <v>3</v>
      </c>
      <c r="E61" s="36">
        <v>350</v>
      </c>
      <c r="F61" s="41">
        <v>0.2</v>
      </c>
      <c r="G61" s="348">
        <f>E61/(1-F61)</f>
        <v>437.5</v>
      </c>
      <c r="H61" s="348">
        <v>250</v>
      </c>
      <c r="I61" s="83">
        <v>0.15</v>
      </c>
      <c r="J61" s="79">
        <f>H61*(1+I61)</f>
        <v>287.5</v>
      </c>
      <c r="K61" s="349">
        <f>J61*D61</f>
        <v>862.5</v>
      </c>
      <c r="L61" s="350">
        <f>G61+J61</f>
        <v>725</v>
      </c>
      <c r="M61" s="351">
        <f>D61*L61</f>
        <v>2175</v>
      </c>
      <c r="N61" s="258"/>
      <c r="O61" s="258"/>
    </row>
    <row r="62" spans="1:15" ht="14.15" customHeight="1" x14ac:dyDescent="0.3">
      <c r="A62" s="341"/>
      <c r="B62" s="387"/>
      <c r="C62" s="88"/>
      <c r="D62" s="1"/>
      <c r="E62" s="36"/>
      <c r="F62" s="41"/>
      <c r="G62" s="348"/>
      <c r="H62" s="348"/>
      <c r="I62" s="79"/>
      <c r="J62" s="79"/>
      <c r="K62" s="349"/>
      <c r="L62" s="350"/>
      <c r="M62" s="351"/>
      <c r="N62" s="258"/>
      <c r="O62" s="258"/>
    </row>
    <row r="63" spans="1:15" ht="14.15" customHeight="1" x14ac:dyDescent="0.3">
      <c r="A63" s="341" t="s">
        <v>137</v>
      </c>
      <c r="B63" s="385" t="s">
        <v>138</v>
      </c>
      <c r="C63" s="248" t="s">
        <v>108</v>
      </c>
      <c r="D63" s="1">
        <v>20</v>
      </c>
      <c r="E63" s="36">
        <f>35</f>
        <v>35</v>
      </c>
      <c r="F63" s="41">
        <v>0.2</v>
      </c>
      <c r="G63" s="348">
        <f>E63/(1-F63)</f>
        <v>43.75</v>
      </c>
      <c r="H63" s="348">
        <f>(65*3)</f>
        <v>195</v>
      </c>
      <c r="I63" s="83">
        <v>0.15</v>
      </c>
      <c r="J63" s="79">
        <f>H63*(1+I63)</f>
        <v>224.24999999999997</v>
      </c>
      <c r="K63" s="349">
        <f>J63*D63</f>
        <v>4484.9999999999991</v>
      </c>
      <c r="L63" s="350">
        <f>G63+J63</f>
        <v>268</v>
      </c>
      <c r="M63" s="351">
        <f>D63*L63</f>
        <v>5360</v>
      </c>
      <c r="N63" s="258"/>
      <c r="O63" s="258"/>
    </row>
    <row r="64" spans="1:15" ht="14.15" customHeight="1" x14ac:dyDescent="0.3">
      <c r="A64" s="341"/>
      <c r="B64" s="387"/>
      <c r="C64" s="87"/>
      <c r="D64" s="1"/>
      <c r="E64" s="36"/>
      <c r="F64" s="41"/>
      <c r="G64" s="348"/>
      <c r="H64" s="348"/>
      <c r="I64" s="79"/>
      <c r="J64" s="79"/>
      <c r="K64" s="349"/>
      <c r="L64" s="350"/>
      <c r="M64" s="351"/>
      <c r="N64" s="258"/>
      <c r="O64" s="258"/>
    </row>
    <row r="65" spans="1:15" ht="14.5" customHeight="1" thickBot="1" x14ac:dyDescent="0.35">
      <c r="A65" s="341" t="s">
        <v>139</v>
      </c>
      <c r="B65" s="385" t="s">
        <v>140</v>
      </c>
      <c r="C65" s="248" t="s">
        <v>42</v>
      </c>
      <c r="D65" s="1">
        <v>1</v>
      </c>
      <c r="E65" s="36">
        <v>1</v>
      </c>
      <c r="F65" s="41">
        <v>0.2</v>
      </c>
      <c r="G65" s="348">
        <f>E65/(1-F65)</f>
        <v>1.25</v>
      </c>
      <c r="H65" s="348">
        <f>2500*3</f>
        <v>7500</v>
      </c>
      <c r="I65" s="83">
        <v>0.15</v>
      </c>
      <c r="J65" s="79">
        <f>H65*(1+I65)</f>
        <v>8625</v>
      </c>
      <c r="K65" s="349">
        <f>J65*D65</f>
        <v>8625</v>
      </c>
      <c r="L65" s="350">
        <f>G65+J65</f>
        <v>8626.25</v>
      </c>
      <c r="M65" s="351">
        <f>D65*L65</f>
        <v>8626.25</v>
      </c>
      <c r="N65" s="258"/>
      <c r="O65" s="258"/>
    </row>
    <row r="66" spans="1:15" ht="14.5" customHeight="1" thickBot="1" x14ac:dyDescent="0.35">
      <c r="A66" s="354"/>
      <c r="B66" s="441"/>
      <c r="C66" s="89"/>
      <c r="D66" s="72"/>
      <c r="E66" s="73"/>
      <c r="F66" s="74"/>
      <c r="G66" s="356"/>
      <c r="H66" s="356"/>
      <c r="I66" s="73"/>
      <c r="J66" s="73"/>
      <c r="K66" s="357"/>
      <c r="L66" s="358"/>
      <c r="M66" s="358"/>
      <c r="N66" s="258"/>
      <c r="O66" s="258"/>
    </row>
    <row r="67" spans="1:15" ht="14.15" customHeight="1" x14ac:dyDescent="0.3">
      <c r="A67" s="389">
        <v>2.1</v>
      </c>
      <c r="B67" s="390"/>
      <c r="C67" s="90"/>
      <c r="D67" s="65" t="s">
        <v>141</v>
      </c>
      <c r="E67" s="53"/>
      <c r="F67" s="54"/>
      <c r="G67" s="391"/>
      <c r="H67" s="391"/>
      <c r="I67" s="53"/>
      <c r="J67" s="53"/>
      <c r="K67" s="392"/>
      <c r="L67" s="393"/>
      <c r="M67" s="393"/>
      <c r="N67" s="258"/>
      <c r="O67" s="258"/>
    </row>
    <row r="68" spans="1:15" ht="28" customHeight="1" x14ac:dyDescent="0.3">
      <c r="A68" s="370" t="s">
        <v>142</v>
      </c>
      <c r="B68" s="444" t="s">
        <v>143</v>
      </c>
      <c r="C68" s="7" t="s">
        <v>85</v>
      </c>
      <c r="D68" s="7">
        <v>3</v>
      </c>
      <c r="E68" s="37">
        <v>10000</v>
      </c>
      <c r="F68" s="41">
        <v>0.16</v>
      </c>
      <c r="G68" s="348">
        <f>E68/(1-F68)</f>
        <v>11904.761904761905</v>
      </c>
      <c r="H68" s="371">
        <v>200</v>
      </c>
      <c r="I68" s="83">
        <v>0.15</v>
      </c>
      <c r="J68" s="79">
        <f>H68*(1+I68)</f>
        <v>229.99999999999997</v>
      </c>
      <c r="K68" s="349">
        <f>J68*D68</f>
        <v>689.99999999999989</v>
      </c>
      <c r="L68" s="350">
        <f>G68+J68</f>
        <v>12134.761904761905</v>
      </c>
      <c r="M68" s="351">
        <f>D68*L68</f>
        <v>36404.28571428571</v>
      </c>
      <c r="N68" s="258"/>
      <c r="O68" s="258"/>
    </row>
    <row r="69" spans="1:15" ht="14.15" customHeight="1" x14ac:dyDescent="0.3">
      <c r="A69" s="394"/>
      <c r="B69" s="395"/>
      <c r="C69" s="248"/>
      <c r="D69" s="248"/>
      <c r="E69" s="36"/>
      <c r="F69" s="41"/>
      <c r="G69" s="348"/>
      <c r="H69" s="348"/>
      <c r="I69" s="79"/>
      <c r="J69" s="79"/>
      <c r="K69" s="349"/>
      <c r="L69" s="350"/>
      <c r="M69" s="351"/>
      <c r="N69" s="258"/>
      <c r="O69" s="258"/>
    </row>
    <row r="70" spans="1:15" ht="28.5" customHeight="1" thickBot="1" x14ac:dyDescent="0.35">
      <c r="A70" s="396" t="s">
        <v>144</v>
      </c>
      <c r="B70" s="446" t="s">
        <v>145</v>
      </c>
      <c r="C70" s="68" t="s">
        <v>85</v>
      </c>
      <c r="D70" s="68">
        <v>3</v>
      </c>
      <c r="E70" s="69">
        <v>7500</v>
      </c>
      <c r="F70" s="52">
        <v>0.16</v>
      </c>
      <c r="G70" s="376">
        <f>E70/(1-F70)</f>
        <v>8928.5714285714294</v>
      </c>
      <c r="H70" s="377">
        <v>200</v>
      </c>
      <c r="I70" s="83">
        <v>0.15</v>
      </c>
      <c r="J70" s="79">
        <f>H70*(1+I70)</f>
        <v>229.99999999999997</v>
      </c>
      <c r="K70" s="382">
        <f>J70*D70</f>
        <v>689.99999999999989</v>
      </c>
      <c r="L70" s="350">
        <f>G70+J70</f>
        <v>9158.5714285714294</v>
      </c>
      <c r="M70" s="378">
        <f>D70*L70</f>
        <v>27475.71428571429</v>
      </c>
      <c r="N70" s="258"/>
      <c r="O70" s="258"/>
    </row>
    <row r="71" spans="1:15" ht="14.5" customHeight="1" thickBot="1" x14ac:dyDescent="0.35">
      <c r="A71" s="397"/>
      <c r="B71" s="449"/>
      <c r="C71" s="89"/>
      <c r="D71" s="72"/>
      <c r="E71" s="73"/>
      <c r="F71" s="74"/>
      <c r="G71" s="356"/>
      <c r="H71" s="356"/>
      <c r="I71" s="73"/>
      <c r="J71" s="73"/>
      <c r="K71" s="357"/>
      <c r="L71" s="358"/>
      <c r="M71" s="358"/>
      <c r="N71" s="258"/>
      <c r="O71" s="258"/>
    </row>
    <row r="72" spans="1:15" ht="14.15" customHeight="1" x14ac:dyDescent="0.3">
      <c r="A72" s="359">
        <v>2.11</v>
      </c>
      <c r="B72" s="450"/>
      <c r="C72" s="91"/>
      <c r="D72" s="58" t="s">
        <v>146</v>
      </c>
      <c r="E72" s="56"/>
      <c r="F72" s="57"/>
      <c r="G72" s="361"/>
      <c r="H72" s="361"/>
      <c r="I72" s="56"/>
      <c r="J72" s="56"/>
      <c r="K72" s="362"/>
      <c r="L72" s="363"/>
      <c r="M72" s="363"/>
      <c r="N72" s="258"/>
      <c r="O72" s="258"/>
    </row>
    <row r="73" spans="1:15" ht="14.15" customHeight="1" x14ac:dyDescent="0.3">
      <c r="A73" s="341"/>
      <c r="B73" s="444"/>
      <c r="C73" s="92"/>
      <c r="D73" s="1"/>
      <c r="E73" s="36"/>
      <c r="F73" s="41"/>
      <c r="G73" s="348"/>
      <c r="H73" s="348"/>
      <c r="I73" s="79"/>
      <c r="J73" s="79"/>
      <c r="K73" s="349"/>
      <c r="L73" s="350"/>
      <c r="M73" s="351"/>
      <c r="N73" s="258"/>
      <c r="O73" s="258"/>
    </row>
    <row r="74" spans="1:15" ht="14.15" customHeight="1" x14ac:dyDescent="0.3">
      <c r="A74" s="341"/>
      <c r="B74" s="443" t="s">
        <v>147</v>
      </c>
      <c r="C74" s="88"/>
      <c r="D74" s="1"/>
      <c r="E74" s="36"/>
      <c r="F74" s="41"/>
      <c r="G74" s="348"/>
      <c r="H74" s="348"/>
      <c r="I74" s="79"/>
      <c r="J74" s="79"/>
      <c r="K74" s="349"/>
      <c r="L74" s="350"/>
      <c r="M74" s="351"/>
      <c r="N74" s="258"/>
      <c r="O74" s="258"/>
    </row>
    <row r="75" spans="1:15" ht="14.15" customHeight="1" x14ac:dyDescent="0.3">
      <c r="A75" s="341"/>
      <c r="B75" s="448"/>
      <c r="C75" s="88"/>
      <c r="D75" s="1"/>
      <c r="E75" s="36"/>
      <c r="F75" s="41"/>
      <c r="G75" s="348"/>
      <c r="H75" s="348"/>
      <c r="I75" s="79"/>
      <c r="J75" s="79"/>
      <c r="K75" s="349"/>
      <c r="L75" s="350"/>
      <c r="M75" s="351"/>
      <c r="N75" s="258"/>
      <c r="O75" s="258"/>
    </row>
    <row r="76" spans="1:15" ht="42" customHeight="1" x14ac:dyDescent="0.3">
      <c r="A76" s="341"/>
      <c r="B76" s="448" t="s">
        <v>148</v>
      </c>
      <c r="C76" s="88"/>
      <c r="D76" s="248"/>
      <c r="E76" s="36"/>
      <c r="F76" s="41"/>
      <c r="G76" s="348"/>
      <c r="H76" s="348"/>
      <c r="I76" s="79"/>
      <c r="J76" s="79"/>
      <c r="K76" s="349"/>
      <c r="L76" s="350"/>
      <c r="M76" s="351"/>
      <c r="N76" s="258"/>
      <c r="O76" s="258"/>
    </row>
    <row r="77" spans="1:15" ht="14.15" customHeight="1" x14ac:dyDescent="0.3">
      <c r="A77" s="384"/>
      <c r="B77" s="443"/>
      <c r="C77" s="88"/>
      <c r="D77" s="1"/>
      <c r="E77" s="36"/>
      <c r="F77" s="41"/>
      <c r="G77" s="348"/>
      <c r="H77" s="400"/>
      <c r="I77" s="81"/>
      <c r="J77" s="81"/>
      <c r="K77" s="349"/>
      <c r="L77" s="350"/>
      <c r="M77" s="351"/>
      <c r="N77" s="258"/>
      <c r="O77" s="258"/>
    </row>
    <row r="78" spans="1:15" ht="14.15" customHeight="1" x14ac:dyDescent="0.3">
      <c r="A78" s="384"/>
      <c r="B78" s="443" t="s">
        <v>282</v>
      </c>
      <c r="C78" s="88" t="s">
        <v>108</v>
      </c>
      <c r="D78" s="1">
        <v>30</v>
      </c>
      <c r="E78" s="36">
        <v>1520</v>
      </c>
      <c r="F78" s="41">
        <v>0.25</v>
      </c>
      <c r="G78" s="348">
        <f t="shared" ref="G78:G84" si="0">E78/(1-F78)</f>
        <v>2026.6666666666667</v>
      </c>
      <c r="H78" s="348">
        <v>25</v>
      </c>
      <c r="I78" s="83">
        <v>0.15</v>
      </c>
      <c r="J78" s="79">
        <f t="shared" ref="J78:J84" si="1">H78*(1+I78)</f>
        <v>28.749999999999996</v>
      </c>
      <c r="K78" s="349">
        <f t="shared" ref="K78:K84" si="2">J78*D78</f>
        <v>862.49999999999989</v>
      </c>
      <c r="L78" s="350">
        <f t="shared" ref="L78:L84" si="3">G78+J78</f>
        <v>2055.4166666666665</v>
      </c>
      <c r="M78" s="351">
        <f t="shared" ref="M78:M84" si="4">D78*L78</f>
        <v>61662.499999999993</v>
      </c>
      <c r="N78" s="258"/>
      <c r="O78" s="258"/>
    </row>
    <row r="79" spans="1:15" ht="14.15" customHeight="1" x14ac:dyDescent="0.3">
      <c r="A79" s="341" t="s">
        <v>149</v>
      </c>
      <c r="B79" s="443" t="s">
        <v>150</v>
      </c>
      <c r="C79" s="88" t="s">
        <v>108</v>
      </c>
      <c r="D79" s="1">
        <v>0</v>
      </c>
      <c r="E79" s="36">
        <v>947.75</v>
      </c>
      <c r="F79" s="41">
        <v>0.25</v>
      </c>
      <c r="G79" s="348">
        <f t="shared" si="0"/>
        <v>1263.6666666666667</v>
      </c>
      <c r="H79" s="348">
        <v>25</v>
      </c>
      <c r="I79" s="83">
        <v>0.15</v>
      </c>
      <c r="J79" s="79">
        <f t="shared" si="1"/>
        <v>28.749999999999996</v>
      </c>
      <c r="K79" s="349">
        <f t="shared" si="2"/>
        <v>0</v>
      </c>
      <c r="L79" s="350">
        <f t="shared" si="3"/>
        <v>1292.4166666666667</v>
      </c>
      <c r="M79" s="351">
        <f t="shared" si="4"/>
        <v>0</v>
      </c>
      <c r="N79" s="258"/>
      <c r="O79" s="258"/>
    </row>
    <row r="80" spans="1:15" ht="14.15" customHeight="1" x14ac:dyDescent="0.3">
      <c r="A80" s="341" t="s">
        <v>151</v>
      </c>
      <c r="B80" s="443" t="s">
        <v>152</v>
      </c>
      <c r="C80" s="88" t="s">
        <v>108</v>
      </c>
      <c r="D80" s="1">
        <v>0</v>
      </c>
      <c r="E80" s="36">
        <v>686.12</v>
      </c>
      <c r="F80" s="41">
        <v>0.25</v>
      </c>
      <c r="G80" s="348">
        <f t="shared" si="0"/>
        <v>914.82666666666671</v>
      </c>
      <c r="H80" s="348">
        <v>25</v>
      </c>
      <c r="I80" s="83">
        <v>0.15</v>
      </c>
      <c r="J80" s="79">
        <f t="shared" si="1"/>
        <v>28.749999999999996</v>
      </c>
      <c r="K80" s="349">
        <f t="shared" si="2"/>
        <v>0</v>
      </c>
      <c r="L80" s="350">
        <f t="shared" si="3"/>
        <v>943.57666666666671</v>
      </c>
      <c r="M80" s="351">
        <f t="shared" si="4"/>
        <v>0</v>
      </c>
      <c r="N80" s="258"/>
      <c r="O80" s="258"/>
    </row>
    <row r="81" spans="1:15" ht="14.15" customHeight="1" x14ac:dyDescent="0.3">
      <c r="A81" s="341" t="s">
        <v>153</v>
      </c>
      <c r="B81" s="443" t="s">
        <v>154</v>
      </c>
      <c r="C81" s="88" t="s">
        <v>108</v>
      </c>
      <c r="D81" s="1">
        <v>30</v>
      </c>
      <c r="E81" s="36">
        <v>538.9</v>
      </c>
      <c r="F81" s="41">
        <v>0.25</v>
      </c>
      <c r="G81" s="348">
        <f t="shared" si="0"/>
        <v>718.5333333333333</v>
      </c>
      <c r="H81" s="348">
        <v>25</v>
      </c>
      <c r="I81" s="83">
        <v>0.15</v>
      </c>
      <c r="J81" s="79">
        <f t="shared" si="1"/>
        <v>28.749999999999996</v>
      </c>
      <c r="K81" s="349">
        <f t="shared" si="2"/>
        <v>862.49999999999989</v>
      </c>
      <c r="L81" s="350">
        <f t="shared" si="3"/>
        <v>747.2833333333333</v>
      </c>
      <c r="M81" s="351">
        <f t="shared" si="4"/>
        <v>22418.5</v>
      </c>
      <c r="N81" s="258"/>
      <c r="O81" s="258"/>
    </row>
    <row r="82" spans="1:15" ht="14.15" customHeight="1" x14ac:dyDescent="0.3">
      <c r="A82" s="341" t="s">
        <v>155</v>
      </c>
      <c r="B82" s="443" t="s">
        <v>156</v>
      </c>
      <c r="C82" s="87" t="s">
        <v>108</v>
      </c>
      <c r="D82" s="1">
        <v>0</v>
      </c>
      <c r="E82" s="36">
        <v>450</v>
      </c>
      <c r="F82" s="41">
        <v>0.25</v>
      </c>
      <c r="G82" s="348">
        <f t="shared" si="0"/>
        <v>600</v>
      </c>
      <c r="H82" s="348">
        <v>25</v>
      </c>
      <c r="I82" s="83">
        <v>0.15</v>
      </c>
      <c r="J82" s="79">
        <f t="shared" si="1"/>
        <v>28.749999999999996</v>
      </c>
      <c r="K82" s="349">
        <f t="shared" si="2"/>
        <v>0</v>
      </c>
      <c r="L82" s="350">
        <f t="shared" si="3"/>
        <v>628.75</v>
      </c>
      <c r="M82" s="351">
        <f t="shared" si="4"/>
        <v>0</v>
      </c>
      <c r="N82" s="258"/>
      <c r="O82" s="258"/>
    </row>
    <row r="83" spans="1:15" ht="14.15" customHeight="1" x14ac:dyDescent="0.3">
      <c r="A83" s="341" t="s">
        <v>157</v>
      </c>
      <c r="B83" s="443" t="s">
        <v>158</v>
      </c>
      <c r="C83" s="87" t="s">
        <v>108</v>
      </c>
      <c r="D83" s="1">
        <f>200 + N("sub Dbs are far apart and there are 7 that we know of")</f>
        <v>200</v>
      </c>
      <c r="E83" s="36">
        <v>380</v>
      </c>
      <c r="F83" s="41">
        <v>0.25</v>
      </c>
      <c r="G83" s="348">
        <f t="shared" si="0"/>
        <v>506.66666666666669</v>
      </c>
      <c r="H83" s="348">
        <v>25</v>
      </c>
      <c r="I83" s="83">
        <v>0.15</v>
      </c>
      <c r="J83" s="79">
        <f t="shared" si="1"/>
        <v>28.749999999999996</v>
      </c>
      <c r="K83" s="349">
        <f t="shared" si="2"/>
        <v>5749.9999999999991</v>
      </c>
      <c r="L83" s="350">
        <f t="shared" si="3"/>
        <v>535.41666666666663</v>
      </c>
      <c r="M83" s="351">
        <f t="shared" si="4"/>
        <v>107083.33333333333</v>
      </c>
      <c r="N83" s="258"/>
      <c r="O83" s="258"/>
    </row>
    <row r="84" spans="1:15" ht="14.5" customHeight="1" thickBot="1" x14ac:dyDescent="0.35">
      <c r="A84" s="381" t="s">
        <v>159</v>
      </c>
      <c r="B84" s="446" t="s">
        <v>160</v>
      </c>
      <c r="C84" s="86" t="s">
        <v>108</v>
      </c>
      <c r="D84" s="50">
        <v>0</v>
      </c>
      <c r="E84" s="51">
        <f>215</f>
        <v>215</v>
      </c>
      <c r="F84" s="52">
        <v>0.25</v>
      </c>
      <c r="G84" s="376">
        <f t="shared" si="0"/>
        <v>286.66666666666669</v>
      </c>
      <c r="H84" s="376">
        <v>25</v>
      </c>
      <c r="I84" s="83">
        <v>0.15</v>
      </c>
      <c r="J84" s="79">
        <f t="shared" si="1"/>
        <v>28.749999999999996</v>
      </c>
      <c r="K84" s="349">
        <f t="shared" si="2"/>
        <v>0</v>
      </c>
      <c r="L84" s="350">
        <f t="shared" si="3"/>
        <v>315.41666666666669</v>
      </c>
      <c r="M84" s="378">
        <f t="shared" si="4"/>
        <v>0</v>
      </c>
      <c r="N84" s="258"/>
      <c r="O84" s="258"/>
    </row>
    <row r="85" spans="1:15" ht="14.5" customHeight="1" thickBot="1" x14ac:dyDescent="0.35">
      <c r="A85" s="397"/>
      <c r="B85" s="449"/>
      <c r="C85" s="89"/>
      <c r="D85" s="72"/>
      <c r="E85" s="73"/>
      <c r="F85" s="74"/>
      <c r="G85" s="356"/>
      <c r="H85" s="356"/>
      <c r="I85" s="73"/>
      <c r="J85" s="73"/>
      <c r="K85" s="357"/>
      <c r="L85" s="358"/>
      <c r="M85" s="358"/>
      <c r="N85" s="258"/>
      <c r="O85" s="258"/>
    </row>
    <row r="86" spans="1:15" ht="14.15" customHeight="1" x14ac:dyDescent="0.3">
      <c r="A86" s="359">
        <v>2.12</v>
      </c>
      <c r="B86" s="450"/>
      <c r="C86" s="91"/>
      <c r="D86" s="58" t="s">
        <v>161</v>
      </c>
      <c r="E86" s="56"/>
      <c r="F86" s="57"/>
      <c r="G86" s="361"/>
      <c r="H86" s="361"/>
      <c r="I86" s="56"/>
      <c r="J86" s="56"/>
      <c r="K86" s="362"/>
      <c r="L86" s="363"/>
      <c r="M86" s="363"/>
      <c r="N86" s="258"/>
      <c r="O86" s="258"/>
    </row>
    <row r="87" spans="1:15" ht="14.15" customHeight="1" x14ac:dyDescent="0.3">
      <c r="A87" s="341"/>
      <c r="B87" s="444"/>
      <c r="C87" s="87"/>
      <c r="D87" s="1"/>
      <c r="E87" s="36"/>
      <c r="F87" s="41"/>
      <c r="G87" s="348"/>
      <c r="H87" s="348"/>
      <c r="I87" s="79"/>
      <c r="J87" s="79"/>
      <c r="K87" s="349"/>
      <c r="L87" s="350"/>
      <c r="M87" s="351"/>
      <c r="N87" s="258"/>
      <c r="O87" s="258"/>
    </row>
    <row r="88" spans="1:15" ht="14.15" customHeight="1" x14ac:dyDescent="0.3">
      <c r="A88" s="341" t="s">
        <v>162</v>
      </c>
      <c r="B88" s="443" t="s">
        <v>163</v>
      </c>
      <c r="C88" s="87" t="s">
        <v>108</v>
      </c>
      <c r="D88" s="1">
        <v>50</v>
      </c>
      <c r="E88" s="36">
        <v>109.45</v>
      </c>
      <c r="F88" s="41">
        <v>0.2</v>
      </c>
      <c r="G88" s="348">
        <f>E88/(1-F88)</f>
        <v>136.8125</v>
      </c>
      <c r="H88" s="348">
        <v>50</v>
      </c>
      <c r="I88" s="83">
        <v>0.15</v>
      </c>
      <c r="J88" s="79">
        <f>H88*(1+I88)</f>
        <v>57.499999999999993</v>
      </c>
      <c r="K88" s="349">
        <f>J88*D88</f>
        <v>2874.9999999999995</v>
      </c>
      <c r="L88" s="350">
        <f>G88+J88</f>
        <v>194.3125</v>
      </c>
      <c r="M88" s="351">
        <f>D88*L88</f>
        <v>9715.625</v>
      </c>
      <c r="N88" s="258"/>
      <c r="O88" s="258"/>
    </row>
    <row r="89" spans="1:15" ht="14.15" customHeight="1" x14ac:dyDescent="0.3">
      <c r="A89" s="341"/>
      <c r="B89" s="443" t="s">
        <v>164</v>
      </c>
      <c r="C89" s="87" t="s">
        <v>108</v>
      </c>
      <c r="D89" s="1">
        <v>50</v>
      </c>
      <c r="E89" s="36">
        <v>70.599999999999994</v>
      </c>
      <c r="F89" s="41">
        <v>0.2</v>
      </c>
      <c r="G89" s="348">
        <f>E89/(1-F89)</f>
        <v>88.249999999999986</v>
      </c>
      <c r="H89" s="348">
        <v>50</v>
      </c>
      <c r="I89" s="83">
        <v>0.15</v>
      </c>
      <c r="J89" s="79">
        <f>H89*(1+I89)</f>
        <v>57.499999999999993</v>
      </c>
      <c r="K89" s="349">
        <f>J89*D89</f>
        <v>2874.9999999999995</v>
      </c>
      <c r="L89" s="350">
        <f>G89+J89</f>
        <v>145.74999999999997</v>
      </c>
      <c r="M89" s="351">
        <f>D89*L89</f>
        <v>7287.4999999999982</v>
      </c>
      <c r="N89" s="258"/>
      <c r="O89" s="258"/>
    </row>
    <row r="90" spans="1:15" ht="14.5" customHeight="1" thickBot="1" x14ac:dyDescent="0.35">
      <c r="A90" s="381"/>
      <c r="B90" s="446" t="s">
        <v>165</v>
      </c>
      <c r="C90" s="86" t="s">
        <v>108</v>
      </c>
      <c r="D90" s="50">
        <f>42 +N("7 DB's, 3 cables each, 2m per db")</f>
        <v>42</v>
      </c>
      <c r="E90" s="51">
        <v>22.91</v>
      </c>
      <c r="F90" s="52">
        <v>0.2</v>
      </c>
      <c r="G90" s="376">
        <f>E90/(1-F90)</f>
        <v>28.637499999999999</v>
      </c>
      <c r="H90" s="376">
        <v>50</v>
      </c>
      <c r="I90" s="83">
        <v>0.15</v>
      </c>
      <c r="J90" s="79">
        <f>H90*(1+I90)</f>
        <v>57.499999999999993</v>
      </c>
      <c r="K90" s="349">
        <f>J90*D90</f>
        <v>2414.9999999999995</v>
      </c>
      <c r="L90" s="350">
        <f>G90+J90</f>
        <v>86.137499999999989</v>
      </c>
      <c r="M90" s="378">
        <f>D90*L90</f>
        <v>3617.7749999999996</v>
      </c>
      <c r="N90" s="258"/>
      <c r="O90" s="258"/>
    </row>
    <row r="91" spans="1:15" ht="14.5" customHeight="1" thickBot="1" x14ac:dyDescent="0.35">
      <c r="A91" s="397"/>
      <c r="B91" s="449"/>
      <c r="C91" s="89"/>
      <c r="D91" s="72"/>
      <c r="E91" s="73"/>
      <c r="F91" s="74"/>
      <c r="G91" s="356"/>
      <c r="H91" s="356"/>
      <c r="I91" s="73"/>
      <c r="J91" s="73"/>
      <c r="K91" s="357"/>
      <c r="L91" s="358"/>
      <c r="M91" s="358"/>
      <c r="N91" s="258"/>
      <c r="O91" s="258"/>
    </row>
    <row r="92" spans="1:15" ht="14.15" customHeight="1" x14ac:dyDescent="0.3">
      <c r="A92" s="359">
        <v>2.13</v>
      </c>
      <c r="B92" s="450"/>
      <c r="C92" s="91"/>
      <c r="D92" s="58" t="s">
        <v>166</v>
      </c>
      <c r="E92" s="56"/>
      <c r="F92" s="57"/>
      <c r="G92" s="361"/>
      <c r="H92" s="361"/>
      <c r="I92" s="56"/>
      <c r="J92" s="56"/>
      <c r="K92" s="362"/>
      <c r="L92" s="363"/>
      <c r="M92" s="363"/>
      <c r="N92" s="258"/>
      <c r="O92" s="258"/>
    </row>
    <row r="93" spans="1:15" ht="14.15" customHeight="1" x14ac:dyDescent="0.3">
      <c r="A93" s="341"/>
      <c r="B93" s="444"/>
      <c r="C93" s="87"/>
      <c r="D93" s="1"/>
      <c r="E93" s="36"/>
      <c r="F93" s="41"/>
      <c r="G93" s="348"/>
      <c r="H93" s="348"/>
      <c r="I93" s="79"/>
      <c r="J93" s="79"/>
      <c r="K93" s="349"/>
      <c r="L93" s="350"/>
      <c r="M93" s="351"/>
      <c r="N93" s="258"/>
      <c r="O93" s="258"/>
    </row>
    <row r="94" spans="1:15" ht="14.15" customHeight="1" x14ac:dyDescent="0.3">
      <c r="A94" s="341" t="s">
        <v>167</v>
      </c>
      <c r="B94" s="443" t="s">
        <v>168</v>
      </c>
      <c r="C94" s="87" t="s">
        <v>108</v>
      </c>
      <c r="D94" s="1">
        <v>20</v>
      </c>
      <c r="E94" s="36">
        <v>25</v>
      </c>
      <c r="F94" s="41">
        <v>0.2</v>
      </c>
      <c r="G94" s="348">
        <f>E94/(1-F94)</f>
        <v>31.25</v>
      </c>
      <c r="H94" s="348"/>
      <c r="I94" s="83">
        <v>0.15</v>
      </c>
      <c r="J94" s="79">
        <f>H94*(1+I94)</f>
        <v>0</v>
      </c>
      <c r="K94" s="349">
        <f>J94*D94</f>
        <v>0</v>
      </c>
      <c r="L94" s="350">
        <f>G94+J94</f>
        <v>31.25</v>
      </c>
      <c r="M94" s="351">
        <f>D94*L94</f>
        <v>625</v>
      </c>
      <c r="N94" s="258"/>
      <c r="O94" s="258"/>
    </row>
    <row r="95" spans="1:15" ht="14.15" customHeight="1" x14ac:dyDescent="0.3">
      <c r="A95" s="341" t="s">
        <v>169</v>
      </c>
      <c r="B95" s="443" t="s">
        <v>170</v>
      </c>
      <c r="C95" s="87" t="s">
        <v>108</v>
      </c>
      <c r="D95" s="1">
        <v>20</v>
      </c>
      <c r="E95" s="36">
        <v>33</v>
      </c>
      <c r="F95" s="41">
        <v>0.2</v>
      </c>
      <c r="G95" s="348">
        <f>E95/(1-F95)</f>
        <v>41.25</v>
      </c>
      <c r="H95" s="348"/>
      <c r="I95" s="83">
        <v>0.15</v>
      </c>
      <c r="J95" s="79">
        <f>H95*(1+I95)</f>
        <v>0</v>
      </c>
      <c r="K95" s="349">
        <f>J95*D95</f>
        <v>0</v>
      </c>
      <c r="L95" s="350">
        <f>G95+J95</f>
        <v>41.25</v>
      </c>
      <c r="M95" s="351">
        <f>D95*L95</f>
        <v>825</v>
      </c>
      <c r="N95" s="258"/>
      <c r="O95" s="258"/>
    </row>
    <row r="96" spans="1:15" ht="14.5" customHeight="1" thickBot="1" x14ac:dyDescent="0.35">
      <c r="A96" s="341" t="s">
        <v>171</v>
      </c>
      <c r="B96" s="451" t="s">
        <v>172</v>
      </c>
      <c r="C96" s="29" t="s">
        <v>108</v>
      </c>
      <c r="D96" s="1">
        <v>0</v>
      </c>
      <c r="E96" s="36">
        <v>37</v>
      </c>
      <c r="F96" s="41">
        <v>0.2</v>
      </c>
      <c r="G96" s="348">
        <f>E96/(1-F96)</f>
        <v>46.25</v>
      </c>
      <c r="H96" s="348"/>
      <c r="I96" s="83">
        <v>0.15</v>
      </c>
      <c r="J96" s="79">
        <f>H96*(1+I96)</f>
        <v>0</v>
      </c>
      <c r="K96" s="349">
        <f>J96*D96</f>
        <v>0</v>
      </c>
      <c r="L96" s="350">
        <f>G96+J96</f>
        <v>46.25</v>
      </c>
      <c r="M96" s="351">
        <f>D96*L96</f>
        <v>0</v>
      </c>
      <c r="N96" s="258"/>
      <c r="O96" s="258"/>
    </row>
    <row r="97" spans="1:15" ht="14.5" customHeight="1" thickBot="1" x14ac:dyDescent="0.35">
      <c r="A97" s="397"/>
      <c r="B97" s="449"/>
      <c r="C97" s="71"/>
      <c r="D97" s="72"/>
      <c r="E97" s="73"/>
      <c r="F97" s="74"/>
      <c r="G97" s="356"/>
      <c r="H97" s="356"/>
      <c r="I97" s="73"/>
      <c r="J97" s="73"/>
      <c r="K97" s="357"/>
      <c r="L97" s="358"/>
      <c r="M97" s="358"/>
      <c r="N97" s="258"/>
      <c r="O97" s="258"/>
    </row>
    <row r="98" spans="1:15" s="297" customFormat="1" ht="14.15" customHeight="1" x14ac:dyDescent="0.3">
      <c r="A98" s="402">
        <v>2.14</v>
      </c>
      <c r="B98" s="452"/>
      <c r="C98" s="78"/>
      <c r="D98" s="65" t="s">
        <v>173</v>
      </c>
      <c r="E98" s="53"/>
      <c r="F98" s="54"/>
      <c r="G98" s="391"/>
      <c r="H98" s="391"/>
      <c r="I98" s="53"/>
      <c r="J98" s="53"/>
      <c r="K98" s="392"/>
      <c r="L98" s="393"/>
      <c r="M98" s="393"/>
      <c r="N98" s="258"/>
      <c r="O98" s="258"/>
    </row>
    <row r="99" spans="1:15" s="297" customFormat="1" ht="14.15" customHeight="1" x14ac:dyDescent="0.3">
      <c r="A99" s="341"/>
      <c r="B99" s="444"/>
      <c r="C99" s="29"/>
      <c r="D99" s="1"/>
      <c r="E99" s="36"/>
      <c r="F99" s="41"/>
      <c r="G99" s="348"/>
      <c r="H99" s="348"/>
      <c r="I99" s="79"/>
      <c r="J99" s="79"/>
      <c r="K99" s="349"/>
      <c r="L99" s="350"/>
      <c r="M99" s="351"/>
      <c r="N99" s="258"/>
      <c r="O99" s="258"/>
    </row>
    <row r="100" spans="1:15" s="297" customFormat="1" ht="28" customHeight="1" x14ac:dyDescent="0.3">
      <c r="A100" s="341"/>
      <c r="B100" s="443" t="s">
        <v>174</v>
      </c>
      <c r="C100" s="29"/>
      <c r="D100" s="1"/>
      <c r="E100" s="36"/>
      <c r="F100" s="41"/>
      <c r="G100" s="348"/>
      <c r="H100" s="348"/>
      <c r="I100" s="79"/>
      <c r="J100" s="79"/>
      <c r="K100" s="349"/>
      <c r="L100" s="350"/>
      <c r="M100" s="351"/>
      <c r="N100" s="258"/>
      <c r="O100" s="258"/>
    </row>
    <row r="101" spans="1:15" s="297" customFormat="1" ht="14.15" customHeight="1" x14ac:dyDescent="0.3">
      <c r="A101" s="384"/>
      <c r="B101" s="443"/>
      <c r="C101" s="29"/>
      <c r="D101" s="1"/>
      <c r="E101" s="36"/>
      <c r="F101" s="41"/>
      <c r="G101" s="348"/>
      <c r="H101" s="348"/>
      <c r="I101" s="79"/>
      <c r="J101" s="79"/>
      <c r="K101" s="349"/>
      <c r="L101" s="350"/>
      <c r="M101" s="351"/>
      <c r="N101" s="258"/>
      <c r="O101" s="258"/>
    </row>
    <row r="102" spans="1:15" s="297" customFormat="1" ht="14.15" customHeight="1" x14ac:dyDescent="0.3">
      <c r="A102" s="384"/>
      <c r="B102" s="443" t="s">
        <v>282</v>
      </c>
      <c r="C102" s="29" t="s">
        <v>85</v>
      </c>
      <c r="D102" s="1">
        <v>13</v>
      </c>
      <c r="E102" s="36">
        <f>1100*1.1</f>
        <v>1210</v>
      </c>
      <c r="F102" s="41">
        <v>0.2</v>
      </c>
      <c r="G102" s="348">
        <f t="shared" ref="G102:G114" si="5">E102/(1-F102)</f>
        <v>1512.5</v>
      </c>
      <c r="H102" s="348">
        <f>(250+100)*1.5</f>
        <v>525</v>
      </c>
      <c r="I102" s="83">
        <v>0.15</v>
      </c>
      <c r="J102" s="79">
        <f t="shared" ref="J102:J114" si="6">H102*(1+I102)</f>
        <v>603.75</v>
      </c>
      <c r="K102" s="349">
        <f t="shared" ref="K102:K114" si="7">J102*D102</f>
        <v>7848.75</v>
      </c>
      <c r="L102" s="350">
        <f t="shared" ref="L102:L114" si="8">G102+J102</f>
        <v>2116.25</v>
      </c>
      <c r="M102" s="351">
        <f t="shared" ref="M102:M114" si="9">D102*L102</f>
        <v>27511.25</v>
      </c>
      <c r="N102" s="258"/>
      <c r="O102" s="258"/>
    </row>
    <row r="103" spans="1:15" s="297" customFormat="1" ht="14.15" customHeight="1" x14ac:dyDescent="0.3">
      <c r="A103" s="341" t="s">
        <v>175</v>
      </c>
      <c r="B103" s="443" t="s">
        <v>150</v>
      </c>
      <c r="C103" s="29" t="s">
        <v>85</v>
      </c>
      <c r="D103" s="1">
        <v>0</v>
      </c>
      <c r="E103" s="36">
        <f>752.54*1.1</f>
        <v>827.79399999999998</v>
      </c>
      <c r="F103" s="41">
        <v>0.2</v>
      </c>
      <c r="G103" s="348">
        <f t="shared" si="5"/>
        <v>1034.7424999999998</v>
      </c>
      <c r="H103" s="348">
        <f>(250+100)*1.5</f>
        <v>525</v>
      </c>
      <c r="I103" s="83">
        <v>0.15</v>
      </c>
      <c r="J103" s="79">
        <f t="shared" si="6"/>
        <v>603.75</v>
      </c>
      <c r="K103" s="349">
        <f t="shared" si="7"/>
        <v>0</v>
      </c>
      <c r="L103" s="350">
        <f t="shared" si="8"/>
        <v>1638.4924999999998</v>
      </c>
      <c r="M103" s="351">
        <f t="shared" si="9"/>
        <v>0</v>
      </c>
      <c r="N103" s="258"/>
      <c r="O103" s="258"/>
    </row>
    <row r="104" spans="1:15" s="297" customFormat="1" ht="14.15" customHeight="1" x14ac:dyDescent="0.3">
      <c r="A104" s="341"/>
      <c r="B104" s="443" t="s">
        <v>428</v>
      </c>
      <c r="C104" s="29" t="s">
        <v>85</v>
      </c>
      <c r="D104" s="1">
        <v>10</v>
      </c>
      <c r="E104" s="36">
        <v>500</v>
      </c>
      <c r="F104" s="41">
        <v>0.2</v>
      </c>
      <c r="G104" s="348">
        <f t="shared" si="5"/>
        <v>625</v>
      </c>
      <c r="H104" s="348">
        <f>(250+100)*1.5</f>
        <v>525</v>
      </c>
      <c r="I104" s="83">
        <v>0.15</v>
      </c>
      <c r="J104" s="79">
        <f t="shared" si="6"/>
        <v>603.75</v>
      </c>
      <c r="K104" s="349">
        <f t="shared" si="7"/>
        <v>6037.5</v>
      </c>
      <c r="L104" s="350">
        <f t="shared" si="8"/>
        <v>1228.75</v>
      </c>
      <c r="M104" s="351">
        <f t="shared" si="9"/>
        <v>12287.5</v>
      </c>
      <c r="N104" s="258"/>
      <c r="O104" s="258"/>
    </row>
    <row r="105" spans="1:15" s="297" customFormat="1" ht="14.15" customHeight="1" x14ac:dyDescent="0.3">
      <c r="A105" s="341" t="s">
        <v>176</v>
      </c>
      <c r="B105" s="443" t="s">
        <v>177</v>
      </c>
      <c r="C105" s="29" t="s">
        <v>85</v>
      </c>
      <c r="D105" s="1">
        <v>0</v>
      </c>
      <c r="E105" s="36">
        <f>350*1.1</f>
        <v>385.00000000000006</v>
      </c>
      <c r="F105" s="41">
        <v>0.2</v>
      </c>
      <c r="G105" s="348">
        <f t="shared" si="5"/>
        <v>481.25000000000006</v>
      </c>
      <c r="H105" s="348">
        <f>(250+100)*1.5</f>
        <v>525</v>
      </c>
      <c r="I105" s="83">
        <v>0.15</v>
      </c>
      <c r="J105" s="79">
        <f t="shared" si="6"/>
        <v>603.75</v>
      </c>
      <c r="K105" s="349">
        <f t="shared" si="7"/>
        <v>0</v>
      </c>
      <c r="L105" s="350">
        <f t="shared" si="8"/>
        <v>1085</v>
      </c>
      <c r="M105" s="351">
        <f t="shared" si="9"/>
        <v>0</v>
      </c>
      <c r="N105" s="258"/>
      <c r="O105" s="258"/>
    </row>
    <row r="106" spans="1:15" s="297" customFormat="1" ht="14.15" customHeight="1" x14ac:dyDescent="0.3">
      <c r="A106" s="341" t="s">
        <v>178</v>
      </c>
      <c r="B106" s="443" t="s">
        <v>152</v>
      </c>
      <c r="C106" s="29" t="s">
        <v>85</v>
      </c>
      <c r="D106" s="1">
        <v>0</v>
      </c>
      <c r="E106" s="36">
        <v>550</v>
      </c>
      <c r="F106" s="41">
        <v>0.2</v>
      </c>
      <c r="G106" s="348">
        <f t="shared" si="5"/>
        <v>687.5</v>
      </c>
      <c r="H106" s="348">
        <f>(250+100)*1.5</f>
        <v>525</v>
      </c>
      <c r="I106" s="83">
        <v>0.15</v>
      </c>
      <c r="J106" s="79">
        <f t="shared" si="6"/>
        <v>603.75</v>
      </c>
      <c r="K106" s="349">
        <f t="shared" si="7"/>
        <v>0</v>
      </c>
      <c r="L106" s="350">
        <f t="shared" si="8"/>
        <v>1291.25</v>
      </c>
      <c r="M106" s="351">
        <f t="shared" si="9"/>
        <v>0</v>
      </c>
      <c r="N106" s="258"/>
      <c r="O106" s="258"/>
    </row>
    <row r="107" spans="1:15" s="297" customFormat="1" ht="14.15" customHeight="1" x14ac:dyDescent="0.3">
      <c r="A107" s="341" t="s">
        <v>179</v>
      </c>
      <c r="B107" s="443" t="s">
        <v>154</v>
      </c>
      <c r="C107" s="29" t="s">
        <v>85</v>
      </c>
      <c r="D107" s="1">
        <v>16</v>
      </c>
      <c r="E107" s="36">
        <v>350</v>
      </c>
      <c r="F107" s="41">
        <v>0.2</v>
      </c>
      <c r="G107" s="348">
        <f t="shared" si="5"/>
        <v>437.5</v>
      </c>
      <c r="H107" s="348">
        <v>525</v>
      </c>
      <c r="I107" s="83">
        <v>0.15</v>
      </c>
      <c r="J107" s="79">
        <f t="shared" si="6"/>
        <v>603.75</v>
      </c>
      <c r="K107" s="349">
        <f t="shared" si="7"/>
        <v>9660</v>
      </c>
      <c r="L107" s="350">
        <f t="shared" si="8"/>
        <v>1041.25</v>
      </c>
      <c r="M107" s="351">
        <f t="shared" si="9"/>
        <v>16660</v>
      </c>
      <c r="N107" s="258"/>
      <c r="O107" s="258"/>
    </row>
    <row r="108" spans="1:15" s="297" customFormat="1" ht="14.5" customHeight="1" x14ac:dyDescent="0.3">
      <c r="A108" s="341" t="s">
        <v>180</v>
      </c>
      <c r="B108" s="443" t="s">
        <v>156</v>
      </c>
      <c r="C108" s="29" t="s">
        <v>85</v>
      </c>
      <c r="D108" s="1">
        <v>0</v>
      </c>
      <c r="E108" s="36"/>
      <c r="F108" s="41"/>
      <c r="G108" s="348">
        <f t="shared" si="5"/>
        <v>0</v>
      </c>
      <c r="H108" s="348">
        <v>525</v>
      </c>
      <c r="I108" s="83">
        <v>0.15</v>
      </c>
      <c r="J108" s="79">
        <f t="shared" si="6"/>
        <v>603.75</v>
      </c>
      <c r="K108" s="349">
        <f t="shared" si="7"/>
        <v>0</v>
      </c>
      <c r="L108" s="350">
        <f t="shared" si="8"/>
        <v>603.75</v>
      </c>
      <c r="M108" s="351">
        <f t="shared" si="9"/>
        <v>0</v>
      </c>
      <c r="N108" s="258"/>
      <c r="O108" s="258"/>
    </row>
    <row r="109" spans="1:15" s="297" customFormat="1" ht="14.15" customHeight="1" x14ac:dyDescent="0.3">
      <c r="A109" s="341" t="s">
        <v>181</v>
      </c>
      <c r="B109" s="443" t="s">
        <v>158</v>
      </c>
      <c r="C109" s="29" t="s">
        <v>85</v>
      </c>
      <c r="D109" s="1">
        <v>10</v>
      </c>
      <c r="E109" s="36">
        <v>350</v>
      </c>
      <c r="F109" s="41">
        <v>0.2</v>
      </c>
      <c r="G109" s="348">
        <f t="shared" si="5"/>
        <v>437.5</v>
      </c>
      <c r="H109" s="348">
        <v>525</v>
      </c>
      <c r="I109" s="83">
        <v>0.15</v>
      </c>
      <c r="J109" s="79">
        <f t="shared" si="6"/>
        <v>603.75</v>
      </c>
      <c r="K109" s="349">
        <f t="shared" si="7"/>
        <v>6037.5</v>
      </c>
      <c r="L109" s="350">
        <f t="shared" si="8"/>
        <v>1041.25</v>
      </c>
      <c r="M109" s="351">
        <f t="shared" si="9"/>
        <v>10412.5</v>
      </c>
      <c r="N109" s="258"/>
      <c r="O109" s="258"/>
    </row>
    <row r="110" spans="1:15" s="297" customFormat="1" ht="14.15" customHeight="1" x14ac:dyDescent="0.3">
      <c r="A110" s="341" t="s">
        <v>182</v>
      </c>
      <c r="B110" s="443" t="s">
        <v>160</v>
      </c>
      <c r="C110" s="29" t="s">
        <v>85</v>
      </c>
      <c r="D110" s="1">
        <v>0</v>
      </c>
      <c r="E110" s="36">
        <v>350</v>
      </c>
      <c r="F110" s="41">
        <v>0.2</v>
      </c>
      <c r="G110" s="348">
        <f t="shared" si="5"/>
        <v>437.5</v>
      </c>
      <c r="H110" s="348">
        <v>525</v>
      </c>
      <c r="I110" s="83">
        <v>0.15</v>
      </c>
      <c r="J110" s="79">
        <f t="shared" si="6"/>
        <v>603.75</v>
      </c>
      <c r="K110" s="349">
        <f t="shared" si="7"/>
        <v>0</v>
      </c>
      <c r="L110" s="350">
        <f t="shared" si="8"/>
        <v>1041.25</v>
      </c>
      <c r="M110" s="351">
        <f t="shared" si="9"/>
        <v>0</v>
      </c>
      <c r="N110" s="258"/>
      <c r="O110" s="258"/>
    </row>
    <row r="111" spans="1:15" s="297" customFormat="1" ht="14.15" customHeight="1" x14ac:dyDescent="0.3">
      <c r="A111" s="341" t="s">
        <v>183</v>
      </c>
      <c r="B111" s="443" t="s">
        <v>184</v>
      </c>
      <c r="C111" s="29" t="s">
        <v>85</v>
      </c>
      <c r="D111" s="1">
        <v>0</v>
      </c>
      <c r="E111" s="36"/>
      <c r="F111" s="41"/>
      <c r="G111" s="348">
        <f t="shared" si="5"/>
        <v>0</v>
      </c>
      <c r="H111" s="348">
        <v>525</v>
      </c>
      <c r="I111" s="83">
        <v>0.15</v>
      </c>
      <c r="J111" s="79">
        <f t="shared" si="6"/>
        <v>603.75</v>
      </c>
      <c r="K111" s="349">
        <f t="shared" si="7"/>
        <v>0</v>
      </c>
      <c r="L111" s="350">
        <f t="shared" si="8"/>
        <v>603.75</v>
      </c>
      <c r="M111" s="351">
        <f t="shared" si="9"/>
        <v>0</v>
      </c>
      <c r="N111" s="258"/>
      <c r="O111" s="258"/>
    </row>
    <row r="112" spans="1:15" s="297" customFormat="1" ht="14.15" customHeight="1" x14ac:dyDescent="0.3">
      <c r="A112" s="341" t="s">
        <v>185</v>
      </c>
      <c r="B112" s="443" t="s">
        <v>186</v>
      </c>
      <c r="C112" s="29" t="s">
        <v>85</v>
      </c>
      <c r="D112" s="1">
        <v>0</v>
      </c>
      <c r="E112" s="36">
        <v>250</v>
      </c>
      <c r="F112" s="41">
        <v>0.2</v>
      </c>
      <c r="G112" s="348">
        <f t="shared" si="5"/>
        <v>312.5</v>
      </c>
      <c r="H112" s="348">
        <v>525</v>
      </c>
      <c r="I112" s="83">
        <v>0.15</v>
      </c>
      <c r="J112" s="79">
        <f t="shared" si="6"/>
        <v>603.75</v>
      </c>
      <c r="K112" s="349">
        <f t="shared" si="7"/>
        <v>0</v>
      </c>
      <c r="L112" s="350">
        <f t="shared" si="8"/>
        <v>916.25</v>
      </c>
      <c r="M112" s="351">
        <f t="shared" si="9"/>
        <v>0</v>
      </c>
      <c r="N112" s="258"/>
      <c r="O112" s="258"/>
    </row>
    <row r="113" spans="1:15" s="297" customFormat="1" ht="14.15" customHeight="1" x14ac:dyDescent="0.3">
      <c r="A113" s="341" t="s">
        <v>187</v>
      </c>
      <c r="B113" s="443" t="s">
        <v>188</v>
      </c>
      <c r="C113" s="29" t="s">
        <v>85</v>
      </c>
      <c r="D113" s="1">
        <v>0</v>
      </c>
      <c r="E113" s="36">
        <v>500</v>
      </c>
      <c r="F113" s="41">
        <v>0.2</v>
      </c>
      <c r="G113" s="348">
        <f t="shared" si="5"/>
        <v>625</v>
      </c>
      <c r="H113" s="348">
        <v>525</v>
      </c>
      <c r="I113" s="83">
        <v>0.15</v>
      </c>
      <c r="J113" s="79">
        <f t="shared" si="6"/>
        <v>603.75</v>
      </c>
      <c r="K113" s="349">
        <f t="shared" si="7"/>
        <v>0</v>
      </c>
      <c r="L113" s="350">
        <f t="shared" si="8"/>
        <v>1228.75</v>
      </c>
      <c r="M113" s="351">
        <f t="shared" si="9"/>
        <v>0</v>
      </c>
      <c r="N113" s="258"/>
      <c r="O113" s="258"/>
    </row>
    <row r="114" spans="1:15" s="297" customFormat="1" ht="14.5" customHeight="1" thickBot="1" x14ac:dyDescent="0.35">
      <c r="A114" s="381" t="s">
        <v>189</v>
      </c>
      <c r="B114" s="446" t="s">
        <v>190</v>
      </c>
      <c r="C114" s="76" t="s">
        <v>85</v>
      </c>
      <c r="D114" s="50">
        <v>0</v>
      </c>
      <c r="E114" s="51">
        <v>500</v>
      </c>
      <c r="F114" s="52">
        <v>0.2</v>
      </c>
      <c r="G114" s="376">
        <f t="shared" si="5"/>
        <v>625</v>
      </c>
      <c r="H114" s="376">
        <v>525</v>
      </c>
      <c r="I114" s="84">
        <v>0.15</v>
      </c>
      <c r="J114" s="80">
        <f t="shared" si="6"/>
        <v>603.75</v>
      </c>
      <c r="K114" s="382">
        <f t="shared" si="7"/>
        <v>0</v>
      </c>
      <c r="L114" s="350">
        <f t="shared" si="8"/>
        <v>1228.75</v>
      </c>
      <c r="M114" s="378">
        <f t="shared" si="9"/>
        <v>0</v>
      </c>
      <c r="N114" s="258"/>
      <c r="O114" s="258"/>
    </row>
    <row r="115" spans="1:15" s="297" customFormat="1" ht="14.5" customHeight="1" thickBot="1" x14ac:dyDescent="0.35">
      <c r="A115" s="404"/>
      <c r="B115" s="453"/>
      <c r="C115" s="29"/>
      <c r="D115" s="1"/>
      <c r="E115" s="36"/>
      <c r="F115" s="41"/>
      <c r="G115" s="348"/>
      <c r="H115" s="348"/>
      <c r="I115" s="79"/>
      <c r="J115" s="79"/>
      <c r="K115" s="406"/>
      <c r="L115" s="350"/>
      <c r="M115" s="351"/>
      <c r="N115" s="258"/>
      <c r="O115" s="258"/>
    </row>
    <row r="116" spans="1:15" ht="14.15" customHeight="1" x14ac:dyDescent="0.3">
      <c r="A116" s="359">
        <v>2.15</v>
      </c>
      <c r="B116" s="450"/>
      <c r="C116" s="75"/>
      <c r="D116" s="58" t="s">
        <v>191</v>
      </c>
      <c r="E116" s="56"/>
      <c r="F116" s="57"/>
      <c r="G116" s="361"/>
      <c r="H116" s="361"/>
      <c r="I116" s="56"/>
      <c r="J116" s="56"/>
      <c r="K116" s="362"/>
      <c r="L116" s="363"/>
      <c r="M116" s="363"/>
      <c r="N116" s="258"/>
      <c r="O116" s="258"/>
    </row>
    <row r="117" spans="1:15" ht="14.15" customHeight="1" x14ac:dyDescent="0.3">
      <c r="A117" s="341"/>
      <c r="B117" s="444"/>
      <c r="C117" s="29"/>
      <c r="D117" s="1"/>
      <c r="E117" s="36"/>
      <c r="F117" s="41"/>
      <c r="G117" s="348"/>
      <c r="H117" s="348"/>
      <c r="I117" s="79"/>
      <c r="J117" s="79"/>
      <c r="K117" s="349"/>
      <c r="L117" s="350"/>
      <c r="M117" s="351"/>
      <c r="N117" s="258"/>
      <c r="O117" s="258"/>
    </row>
    <row r="118" spans="1:15" ht="28" customHeight="1" x14ac:dyDescent="0.3">
      <c r="A118" s="341"/>
      <c r="B118" s="443" t="s">
        <v>192</v>
      </c>
      <c r="C118" s="29"/>
      <c r="D118" s="1"/>
      <c r="E118" s="36"/>
      <c r="F118" s="41"/>
      <c r="G118" s="348"/>
      <c r="H118" s="348"/>
      <c r="I118" s="79"/>
      <c r="J118" s="79"/>
      <c r="K118" s="349"/>
      <c r="L118" s="350"/>
      <c r="M118" s="351"/>
      <c r="N118" s="258"/>
      <c r="O118" s="258"/>
    </row>
    <row r="119" spans="1:15" ht="14.15" customHeight="1" x14ac:dyDescent="0.3">
      <c r="A119" s="384"/>
      <c r="B119" s="443"/>
      <c r="C119" s="29"/>
      <c r="D119" s="1"/>
      <c r="E119" s="36"/>
      <c r="F119" s="41"/>
      <c r="G119" s="348"/>
      <c r="H119" s="348"/>
      <c r="I119" s="79"/>
      <c r="J119" s="79"/>
      <c r="K119" s="349"/>
      <c r="L119" s="350"/>
      <c r="M119" s="351"/>
      <c r="N119" s="258"/>
      <c r="O119" s="258"/>
    </row>
    <row r="120" spans="1:15" ht="14.15" customHeight="1" x14ac:dyDescent="0.3">
      <c r="A120" s="341" t="s">
        <v>193</v>
      </c>
      <c r="B120" s="443" t="s">
        <v>194</v>
      </c>
      <c r="C120" s="29" t="s">
        <v>108</v>
      </c>
      <c r="D120" s="1">
        <v>0</v>
      </c>
      <c r="E120" s="36">
        <f>132*(15+10+10)</f>
        <v>4620</v>
      </c>
      <c r="F120" s="41">
        <v>0.2</v>
      </c>
      <c r="G120" s="348">
        <f>E120/(1-F120)</f>
        <v>5775</v>
      </c>
      <c r="H120" s="348">
        <f>9*(15+10+10)</f>
        <v>315</v>
      </c>
      <c r="I120" s="83">
        <v>0.15</v>
      </c>
      <c r="J120" s="79">
        <f>H120*(1+I120)</f>
        <v>362.25</v>
      </c>
      <c r="K120" s="349">
        <f>J120*D120</f>
        <v>0</v>
      </c>
      <c r="L120" s="350">
        <f>G120+J120</f>
        <v>6137.25</v>
      </c>
      <c r="M120" s="351">
        <f>D120*L120</f>
        <v>0</v>
      </c>
      <c r="N120" s="258"/>
      <c r="O120" s="258"/>
    </row>
    <row r="121" spans="1:15" ht="14.5" customHeight="1" thickBot="1" x14ac:dyDescent="0.35">
      <c r="A121" s="381" t="s">
        <v>195</v>
      </c>
      <c r="B121" s="446" t="s">
        <v>196</v>
      </c>
      <c r="C121" s="76" t="s">
        <v>108</v>
      </c>
      <c r="D121" s="50">
        <v>500</v>
      </c>
      <c r="E121" s="51">
        <f>30</f>
        <v>30</v>
      </c>
      <c r="F121" s="52">
        <v>0.2</v>
      </c>
      <c r="G121" s="376">
        <f>E121/(1-F121)</f>
        <v>37.5</v>
      </c>
      <c r="H121" s="376">
        <f>15</f>
        <v>15</v>
      </c>
      <c r="I121" s="84">
        <v>0.15</v>
      </c>
      <c r="J121" s="80">
        <f>H121*(1+I121)</f>
        <v>17.25</v>
      </c>
      <c r="K121" s="382">
        <f>J121*D121</f>
        <v>8625</v>
      </c>
      <c r="L121" s="407">
        <f>G121+J121</f>
        <v>54.75</v>
      </c>
      <c r="M121" s="378">
        <f>D121*L121</f>
        <v>27375</v>
      </c>
      <c r="N121" s="258"/>
      <c r="O121" s="258"/>
    </row>
    <row r="122" spans="1:15" ht="14.5" customHeight="1" thickBot="1" x14ac:dyDescent="0.35">
      <c r="A122" s="258"/>
      <c r="B122" s="453"/>
      <c r="C122" s="29"/>
      <c r="D122" s="1"/>
      <c r="E122" s="36"/>
      <c r="F122" s="41"/>
      <c r="G122" s="348"/>
      <c r="H122" s="348"/>
      <c r="I122" s="79"/>
      <c r="J122" s="79"/>
      <c r="K122" s="406"/>
      <c r="L122" s="350"/>
      <c r="M122" s="351"/>
      <c r="N122" s="258"/>
      <c r="O122" s="258"/>
    </row>
    <row r="123" spans="1:15" ht="14.15" customHeight="1" x14ac:dyDescent="0.3">
      <c r="A123" s="359">
        <v>2.16</v>
      </c>
      <c r="B123" s="450"/>
      <c r="C123" s="75"/>
      <c r="D123" s="58" t="s">
        <v>197</v>
      </c>
      <c r="E123" s="56"/>
      <c r="F123" s="57"/>
      <c r="G123" s="361"/>
      <c r="H123" s="361"/>
      <c r="I123" s="56"/>
      <c r="J123" s="56"/>
      <c r="K123" s="362"/>
      <c r="L123" s="363"/>
      <c r="M123" s="363"/>
      <c r="N123" s="258"/>
      <c r="O123" s="258"/>
    </row>
    <row r="124" spans="1:15" ht="14.15" customHeight="1" x14ac:dyDescent="0.3">
      <c r="A124" s="341"/>
      <c r="B124" s="444"/>
      <c r="C124" s="29"/>
      <c r="D124" s="1"/>
      <c r="E124" s="36"/>
      <c r="F124" s="41"/>
      <c r="G124" s="348"/>
      <c r="H124" s="348"/>
      <c r="I124" s="79"/>
      <c r="J124" s="79"/>
      <c r="K124" s="349"/>
      <c r="L124" s="350"/>
      <c r="M124" s="351"/>
      <c r="N124" s="258"/>
      <c r="O124" s="258"/>
    </row>
    <row r="125" spans="1:15" ht="28.5" customHeight="1" thickBot="1" x14ac:dyDescent="0.35">
      <c r="A125" s="381" t="s">
        <v>198</v>
      </c>
      <c r="B125" s="446" t="s">
        <v>199</v>
      </c>
      <c r="C125" s="86" t="s">
        <v>108</v>
      </c>
      <c r="D125" s="50">
        <v>10</v>
      </c>
      <c r="E125" s="51">
        <v>5</v>
      </c>
      <c r="F125" s="52">
        <v>0.2</v>
      </c>
      <c r="G125" s="376">
        <f>E125/(1-F125)</f>
        <v>6.25</v>
      </c>
      <c r="H125" s="376">
        <f>(100*3)</f>
        <v>300</v>
      </c>
      <c r="I125" s="84">
        <v>0.15</v>
      </c>
      <c r="J125" s="80">
        <f>H125*(1+I125)</f>
        <v>345</v>
      </c>
      <c r="K125" s="382">
        <f>J125*D125</f>
        <v>3450</v>
      </c>
      <c r="L125" s="407">
        <f>G125+J125</f>
        <v>351.25</v>
      </c>
      <c r="M125" s="378">
        <f>D125*L125</f>
        <v>3512.5</v>
      </c>
      <c r="N125" s="258"/>
      <c r="O125" s="258"/>
    </row>
    <row r="126" spans="1:15" ht="13.4" customHeight="1" thickBot="1" x14ac:dyDescent="0.35">
      <c r="A126" s="404"/>
      <c r="B126" s="453"/>
      <c r="C126" s="87"/>
      <c r="D126" s="1"/>
      <c r="E126" s="36"/>
      <c r="F126" s="41"/>
      <c r="G126" s="348"/>
      <c r="H126" s="348"/>
      <c r="I126" s="79"/>
      <c r="J126" s="79"/>
      <c r="K126" s="406"/>
      <c r="L126" s="350"/>
      <c r="M126" s="351"/>
      <c r="N126" s="258"/>
      <c r="O126" s="258"/>
    </row>
    <row r="127" spans="1:15" ht="14.15" customHeight="1" x14ac:dyDescent="0.3">
      <c r="A127" s="359">
        <v>2.17</v>
      </c>
      <c r="B127" s="450"/>
      <c r="C127" s="91"/>
      <c r="D127" s="58" t="s">
        <v>200</v>
      </c>
      <c r="E127" s="56"/>
      <c r="F127" s="57"/>
      <c r="G127" s="361"/>
      <c r="H127" s="361"/>
      <c r="I127" s="56"/>
      <c r="J127" s="56"/>
      <c r="K127" s="362"/>
      <c r="L127" s="363"/>
      <c r="M127" s="363"/>
      <c r="N127" s="258"/>
      <c r="O127" s="258"/>
    </row>
    <row r="128" spans="1:15" ht="14.15" customHeight="1" x14ac:dyDescent="0.3">
      <c r="A128" s="341"/>
      <c r="B128" s="454"/>
      <c r="C128" s="87"/>
      <c r="D128" s="1"/>
      <c r="E128" s="36"/>
      <c r="F128" s="41"/>
      <c r="G128" s="348"/>
      <c r="H128" s="348"/>
      <c r="I128" s="79"/>
      <c r="J128" s="79"/>
      <c r="K128" s="349"/>
      <c r="L128" s="350"/>
      <c r="M128" s="351"/>
      <c r="N128" s="258"/>
      <c r="O128" s="258"/>
    </row>
    <row r="129" spans="1:15" ht="14.15" customHeight="1" x14ac:dyDescent="0.3">
      <c r="A129" s="341"/>
      <c r="B129" s="443" t="s">
        <v>201</v>
      </c>
      <c r="C129" s="87"/>
      <c r="D129" s="1"/>
      <c r="E129" s="36"/>
      <c r="F129" s="41"/>
      <c r="G129" s="348"/>
      <c r="H129" s="348"/>
      <c r="I129" s="79"/>
      <c r="J129" s="79"/>
      <c r="K129" s="349"/>
      <c r="L129" s="350"/>
      <c r="M129" s="351"/>
      <c r="N129" s="258"/>
      <c r="O129" s="258"/>
    </row>
    <row r="130" spans="1:15" ht="14.15" customHeight="1" x14ac:dyDescent="0.3">
      <c r="A130" s="384"/>
      <c r="B130" s="455"/>
      <c r="C130" s="87"/>
      <c r="D130" s="1"/>
      <c r="E130" s="36"/>
      <c r="F130" s="41"/>
      <c r="G130" s="348"/>
      <c r="H130" s="348"/>
      <c r="I130" s="79"/>
      <c r="J130" s="79"/>
      <c r="K130" s="349"/>
      <c r="L130" s="350"/>
      <c r="M130" s="351"/>
      <c r="N130" s="258"/>
      <c r="O130" s="258"/>
    </row>
    <row r="131" spans="1:15" ht="28" customHeight="1" x14ac:dyDescent="0.3">
      <c r="A131" s="341" t="s">
        <v>202</v>
      </c>
      <c r="B131" s="443" t="s">
        <v>203</v>
      </c>
      <c r="C131" s="87" t="s">
        <v>42</v>
      </c>
      <c r="D131" s="1">
        <v>0</v>
      </c>
      <c r="E131" s="36"/>
      <c r="F131" s="41">
        <v>0.2</v>
      </c>
      <c r="G131" s="348">
        <f>E131/(1-F131)</f>
        <v>0</v>
      </c>
      <c r="H131" s="348">
        <f>140*(20+60+200)</f>
        <v>39200</v>
      </c>
      <c r="I131" s="83">
        <v>0.15</v>
      </c>
      <c r="J131" s="79">
        <f>H131*(1+I131)</f>
        <v>45080</v>
      </c>
      <c r="K131" s="349">
        <f>J131*D131</f>
        <v>0</v>
      </c>
      <c r="L131" s="350">
        <f>G131+J131</f>
        <v>45080</v>
      </c>
      <c r="M131" s="351">
        <f>D131*L131</f>
        <v>0</v>
      </c>
      <c r="N131" s="258"/>
      <c r="O131" s="258"/>
    </row>
    <row r="132" spans="1:15" s="297" customFormat="1" ht="28" customHeight="1" x14ac:dyDescent="0.3">
      <c r="A132" s="341" t="s">
        <v>204</v>
      </c>
      <c r="B132" s="443" t="s">
        <v>205</v>
      </c>
      <c r="C132" s="87" t="s">
        <v>42</v>
      </c>
      <c r="D132" s="1">
        <v>0</v>
      </c>
      <c r="E132" s="36"/>
      <c r="F132" s="41">
        <v>0.2</v>
      </c>
      <c r="G132" s="348">
        <f>E132/(1-F132)</f>
        <v>0</v>
      </c>
      <c r="H132" s="348">
        <f>140*(20+60+200)</f>
        <v>39200</v>
      </c>
      <c r="I132" s="83">
        <v>0.15</v>
      </c>
      <c r="J132" s="79">
        <f>H132*(1+I132)</f>
        <v>45080</v>
      </c>
      <c r="K132" s="349">
        <f>J132*D132</f>
        <v>0</v>
      </c>
      <c r="L132" s="350">
        <f>G132+J132</f>
        <v>45080</v>
      </c>
      <c r="M132" s="351">
        <f>D132*L132</f>
        <v>0</v>
      </c>
      <c r="N132" s="258"/>
      <c r="O132" s="258"/>
    </row>
    <row r="133" spans="1:15" s="297" customFormat="1" ht="14.15" customHeight="1" x14ac:dyDescent="0.3">
      <c r="A133" s="341" t="s">
        <v>206</v>
      </c>
      <c r="B133" s="443" t="s">
        <v>207</v>
      </c>
      <c r="C133" s="87" t="s">
        <v>42</v>
      </c>
      <c r="D133" s="1">
        <v>0</v>
      </c>
      <c r="E133" s="36">
        <f>35*(50+50)</f>
        <v>3500</v>
      </c>
      <c r="F133" s="41">
        <v>0.2</v>
      </c>
      <c r="G133" s="348">
        <f>E133/(1-F133)</f>
        <v>4375</v>
      </c>
      <c r="H133" s="348">
        <f>5*(50+50+50)</f>
        <v>750</v>
      </c>
      <c r="I133" s="83">
        <v>0.15</v>
      </c>
      <c r="J133" s="79">
        <f>H133*(1+I133)</f>
        <v>862.49999999999989</v>
      </c>
      <c r="K133" s="349">
        <f>J133*D133</f>
        <v>0</v>
      </c>
      <c r="L133" s="350">
        <f>G133+J133</f>
        <v>5237.5</v>
      </c>
      <c r="M133" s="351">
        <f>D133*L133</f>
        <v>0</v>
      </c>
      <c r="N133" s="258"/>
      <c r="O133" s="258"/>
    </row>
    <row r="134" spans="1:15" s="297" customFormat="1" ht="14.5" customHeight="1" thickBot="1" x14ac:dyDescent="0.35">
      <c r="A134" s="381" t="s">
        <v>208</v>
      </c>
      <c r="B134" s="446" t="s">
        <v>209</v>
      </c>
      <c r="C134" s="86" t="s">
        <v>42</v>
      </c>
      <c r="D134" s="50">
        <v>0</v>
      </c>
      <c r="E134" s="51">
        <f>4500*3</f>
        <v>13500</v>
      </c>
      <c r="F134" s="52">
        <v>0.2</v>
      </c>
      <c r="G134" s="376">
        <f>E134/(1-F134)</f>
        <v>16875</v>
      </c>
      <c r="H134" s="376">
        <v>5</v>
      </c>
      <c r="I134" s="84">
        <v>0.15</v>
      </c>
      <c r="J134" s="80">
        <f>H134*(1+I134)</f>
        <v>5.75</v>
      </c>
      <c r="K134" s="382">
        <f>J134*D134</f>
        <v>0</v>
      </c>
      <c r="L134" s="407">
        <f>G134+J134</f>
        <v>16880.75</v>
      </c>
      <c r="M134" s="378">
        <f>D134*L134</f>
        <v>0</v>
      </c>
      <c r="N134" s="258"/>
      <c r="O134" s="258"/>
    </row>
    <row r="135" spans="1:15" s="297" customFormat="1" ht="14.5" customHeight="1" thickBot="1" x14ac:dyDescent="0.35">
      <c r="A135" s="404"/>
      <c r="B135" s="456"/>
      <c r="C135" s="1"/>
      <c r="D135" s="1"/>
      <c r="E135" s="36"/>
      <c r="F135" s="41"/>
      <c r="G135" s="348"/>
      <c r="H135" s="348"/>
      <c r="I135" s="79"/>
      <c r="J135" s="79"/>
      <c r="K135" s="406"/>
      <c r="L135" s="350"/>
      <c r="M135" s="351"/>
      <c r="N135" s="258"/>
      <c r="O135" s="258"/>
    </row>
    <row r="136" spans="1:15" s="297" customFormat="1" ht="14.15" customHeight="1" x14ac:dyDescent="0.3">
      <c r="A136" s="359">
        <v>2.1800000000000002</v>
      </c>
      <c r="B136" s="450"/>
      <c r="C136" s="91"/>
      <c r="D136" s="55" t="s">
        <v>210</v>
      </c>
      <c r="E136" s="56"/>
      <c r="F136" s="57"/>
      <c r="G136" s="361"/>
      <c r="H136" s="361"/>
      <c r="I136" s="56"/>
      <c r="J136" s="56"/>
      <c r="K136" s="362"/>
      <c r="L136" s="363"/>
      <c r="M136" s="363"/>
      <c r="N136" s="258"/>
      <c r="O136" s="258"/>
    </row>
    <row r="137" spans="1:15" s="297" customFormat="1" ht="14.15" customHeight="1" x14ac:dyDescent="0.3">
      <c r="A137" s="341"/>
      <c r="B137" s="454"/>
      <c r="C137" s="87"/>
      <c r="D137" s="1"/>
      <c r="E137" s="36"/>
      <c r="F137" s="41"/>
      <c r="G137" s="348"/>
      <c r="H137" s="348"/>
      <c r="I137" s="79"/>
      <c r="J137" s="79"/>
      <c r="K137" s="349"/>
      <c r="L137" s="350"/>
      <c r="M137" s="351"/>
      <c r="N137" s="258"/>
      <c r="O137" s="258"/>
    </row>
    <row r="138" spans="1:15" s="297" customFormat="1" ht="14.15" customHeight="1" x14ac:dyDescent="0.3">
      <c r="A138" s="341" t="s">
        <v>211</v>
      </c>
      <c r="B138" s="443" t="s">
        <v>243</v>
      </c>
      <c r="C138" s="87" t="s">
        <v>42</v>
      </c>
      <c r="D138" s="1">
        <v>2</v>
      </c>
      <c r="E138" s="36">
        <v>10000</v>
      </c>
      <c r="F138" s="41">
        <v>0.2</v>
      </c>
      <c r="G138" s="348">
        <f>E138/(1-F138)</f>
        <v>12500</v>
      </c>
      <c r="H138" s="348">
        <f>2500*3</f>
        <v>7500</v>
      </c>
      <c r="I138" s="79"/>
      <c r="J138" s="79"/>
      <c r="K138" s="349">
        <f>H138*D138</f>
        <v>15000</v>
      </c>
      <c r="L138" s="350">
        <f>G138+J138</f>
        <v>12500</v>
      </c>
      <c r="M138" s="351">
        <f>D138*L138</f>
        <v>25000</v>
      </c>
      <c r="N138" s="258"/>
      <c r="O138" s="258"/>
    </row>
    <row r="139" spans="1:15" s="297" customFormat="1" ht="14.5" customHeight="1" thickBot="1" x14ac:dyDescent="0.35">
      <c r="A139" s="381"/>
      <c r="B139" s="411"/>
      <c r="C139" s="50"/>
      <c r="D139" s="50"/>
      <c r="E139" s="51"/>
      <c r="F139" s="52"/>
      <c r="G139" s="376"/>
      <c r="H139" s="376"/>
      <c r="I139" s="80"/>
      <c r="J139" s="80"/>
      <c r="K139" s="382">
        <f>H139*D139</f>
        <v>0</v>
      </c>
      <c r="L139" s="412"/>
      <c r="M139" s="378"/>
      <c r="N139" s="258"/>
      <c r="O139" s="258"/>
    </row>
    <row r="140" spans="1:15" s="297" customFormat="1" ht="14.15" customHeight="1" x14ac:dyDescent="0.3">
      <c r="A140" s="369"/>
      <c r="B140" s="413"/>
      <c r="C140" s="1"/>
      <c r="D140" s="1"/>
      <c r="E140" s="36"/>
      <c r="F140" s="41"/>
      <c r="G140" s="348"/>
      <c r="H140" s="348"/>
      <c r="I140" s="36"/>
      <c r="J140" s="36"/>
      <c r="K140" s="414"/>
      <c r="L140" s="350"/>
      <c r="M140" s="351"/>
      <c r="N140" s="258"/>
      <c r="O140" s="258"/>
    </row>
    <row r="141" spans="1:15" s="297" customFormat="1" ht="14.15" customHeight="1" x14ac:dyDescent="0.3">
      <c r="A141" s="404">
        <v>2.19</v>
      </c>
      <c r="B141" s="455" t="s">
        <v>213</v>
      </c>
      <c r="C141" s="29"/>
      <c r="D141" s="1"/>
      <c r="E141" s="36"/>
      <c r="F141" s="41"/>
      <c r="G141" s="348"/>
      <c r="H141" s="348"/>
      <c r="I141" s="36"/>
      <c r="J141" s="36"/>
      <c r="K141" s="415">
        <f>H141*D141</f>
        <v>0</v>
      </c>
      <c r="L141" s="350"/>
      <c r="M141" s="351"/>
      <c r="N141" s="258"/>
      <c r="O141" s="258"/>
    </row>
    <row r="142" spans="1:15" s="297" customFormat="1" ht="14.15" customHeight="1" x14ac:dyDescent="0.3">
      <c r="A142" s="404" t="s">
        <v>214</v>
      </c>
      <c r="B142" s="443" t="s">
        <v>215</v>
      </c>
      <c r="C142" s="29" t="s">
        <v>42</v>
      </c>
      <c r="D142" s="1">
        <v>1</v>
      </c>
      <c r="E142" s="36">
        <v>25000</v>
      </c>
      <c r="F142" s="41">
        <v>0</v>
      </c>
      <c r="G142" s="348">
        <f>E142/(1-F142)</f>
        <v>25000</v>
      </c>
      <c r="H142" s="348">
        <v>0</v>
      </c>
      <c r="I142" s="36"/>
      <c r="J142" s="36"/>
      <c r="K142" s="415">
        <f>H142*D142</f>
        <v>0</v>
      </c>
      <c r="L142" s="350">
        <f>G142+H142</f>
        <v>25000</v>
      </c>
      <c r="M142" s="351">
        <f>D142*L142</f>
        <v>25000</v>
      </c>
      <c r="N142" s="258"/>
      <c r="O142" s="258"/>
    </row>
    <row r="143" spans="1:15" s="297" customFormat="1" ht="14.15" customHeight="1" x14ac:dyDescent="0.3">
      <c r="A143" s="404"/>
      <c r="B143" s="455"/>
      <c r="C143" s="29"/>
      <c r="D143" s="1"/>
      <c r="E143" s="36"/>
      <c r="F143" s="41"/>
      <c r="G143" s="348"/>
      <c r="H143" s="348"/>
      <c r="I143" s="36"/>
      <c r="J143" s="36"/>
      <c r="K143" s="415"/>
      <c r="L143" s="350"/>
      <c r="M143" s="351"/>
      <c r="N143" s="258"/>
      <c r="O143" s="258"/>
    </row>
    <row r="144" spans="1:15" s="297" customFormat="1" ht="14.15" customHeight="1" x14ac:dyDescent="0.3">
      <c r="A144" s="416">
        <v>2.2000000000000002</v>
      </c>
      <c r="B144" s="455" t="s">
        <v>216</v>
      </c>
      <c r="C144" s="29"/>
      <c r="D144" s="1"/>
      <c r="E144" s="36"/>
      <c r="F144" s="41"/>
      <c r="G144" s="348"/>
      <c r="H144" s="348"/>
      <c r="I144" s="36"/>
      <c r="J144" s="36"/>
      <c r="K144" s="415">
        <f>H144*D144</f>
        <v>0</v>
      </c>
      <c r="L144" s="350"/>
      <c r="M144" s="351"/>
      <c r="N144" s="258"/>
      <c r="O144" s="258"/>
    </row>
    <row r="145" spans="1:15" s="297" customFormat="1" ht="14.15" customHeight="1" x14ac:dyDescent="0.3">
      <c r="A145" s="404" t="s">
        <v>217</v>
      </c>
      <c r="B145" s="443" t="s">
        <v>218</v>
      </c>
      <c r="C145" s="29" t="s">
        <v>42</v>
      </c>
      <c r="D145" s="1">
        <v>1</v>
      </c>
      <c r="E145" s="36">
        <f>15000</f>
        <v>15000</v>
      </c>
      <c r="F145" s="41">
        <v>0</v>
      </c>
      <c r="G145" s="348">
        <f>E145/(1-F145)</f>
        <v>15000</v>
      </c>
      <c r="H145" s="348">
        <v>0</v>
      </c>
      <c r="I145" s="36"/>
      <c r="J145" s="36"/>
      <c r="K145" s="415">
        <f>H145*D145</f>
        <v>0</v>
      </c>
      <c r="L145" s="350">
        <f>G145+H145</f>
        <v>15000</v>
      </c>
      <c r="M145" s="351">
        <f>D145*L145</f>
        <v>15000</v>
      </c>
      <c r="N145" s="258"/>
      <c r="O145" s="258"/>
    </row>
    <row r="146" spans="1:15" s="297" customFormat="1" ht="14.15" customHeight="1" x14ac:dyDescent="0.3">
      <c r="A146" s="404"/>
      <c r="B146" s="455"/>
      <c r="C146" s="29"/>
      <c r="D146" s="1"/>
      <c r="E146" s="36"/>
      <c r="F146" s="41"/>
      <c r="G146" s="348"/>
      <c r="H146" s="348"/>
      <c r="I146" s="36"/>
      <c r="J146" s="36"/>
      <c r="K146" s="415"/>
      <c r="L146" s="350"/>
      <c r="M146" s="351"/>
      <c r="N146" s="258"/>
      <c r="O146" s="258"/>
    </row>
    <row r="147" spans="1:15" s="297" customFormat="1" ht="14.15" customHeight="1" x14ac:dyDescent="0.3">
      <c r="A147" s="404">
        <v>2.21</v>
      </c>
      <c r="B147" s="455" t="s">
        <v>219</v>
      </c>
      <c r="C147" s="29"/>
      <c r="D147" s="1"/>
      <c r="E147" s="36"/>
      <c r="F147" s="41"/>
      <c r="G147" s="348"/>
      <c r="H147" s="348"/>
      <c r="I147" s="36"/>
      <c r="J147" s="36"/>
      <c r="K147" s="415">
        <f>H147*D147</f>
        <v>0</v>
      </c>
      <c r="L147" s="350"/>
      <c r="M147" s="351"/>
      <c r="N147" s="258"/>
      <c r="O147" s="258"/>
    </row>
    <row r="148" spans="1:15" ht="14.15" customHeight="1" x14ac:dyDescent="0.3">
      <c r="A148" s="404" t="s">
        <v>220</v>
      </c>
      <c r="B148" s="443" t="s">
        <v>221</v>
      </c>
      <c r="C148" s="29" t="s">
        <v>42</v>
      </c>
      <c r="D148" s="1">
        <v>1</v>
      </c>
      <c r="E148" s="36">
        <f>5000</f>
        <v>5000</v>
      </c>
      <c r="F148" s="41">
        <v>0</v>
      </c>
      <c r="G148" s="348">
        <f>E148/(1-F148)</f>
        <v>5000</v>
      </c>
      <c r="H148" s="348">
        <v>0</v>
      </c>
      <c r="I148" s="36"/>
      <c r="J148" s="36"/>
      <c r="K148" s="415">
        <f>H148*D148</f>
        <v>0</v>
      </c>
      <c r="L148" s="350">
        <f>G148+H148</f>
        <v>5000</v>
      </c>
      <c r="M148" s="351">
        <f>D148*L148</f>
        <v>5000</v>
      </c>
      <c r="N148" s="258"/>
      <c r="O148" s="258"/>
    </row>
    <row r="149" spans="1:15" ht="14.15" customHeight="1" x14ac:dyDescent="0.3">
      <c r="A149" s="404" t="s">
        <v>222</v>
      </c>
      <c r="B149" s="443" t="s">
        <v>223</v>
      </c>
      <c r="C149" s="29" t="s">
        <v>42</v>
      </c>
      <c r="D149" s="1">
        <v>1</v>
      </c>
      <c r="E149" s="36">
        <f>50000</f>
        <v>50000</v>
      </c>
      <c r="F149" s="41">
        <v>0</v>
      </c>
      <c r="G149" s="348">
        <f>E149/(1-F149)</f>
        <v>50000</v>
      </c>
      <c r="H149" s="348">
        <v>0</v>
      </c>
      <c r="I149" s="36"/>
      <c r="J149" s="36"/>
      <c r="K149" s="415">
        <f>H149*D149</f>
        <v>0</v>
      </c>
      <c r="L149" s="350">
        <f>G149+H149</f>
        <v>50000</v>
      </c>
      <c r="M149" s="351">
        <f>D149*L149</f>
        <v>50000</v>
      </c>
      <c r="N149" s="258"/>
      <c r="O149" s="258"/>
    </row>
    <row r="150" spans="1:15" ht="14.15" customHeight="1" x14ac:dyDescent="0.3">
      <c r="A150" s="404"/>
      <c r="B150" s="413"/>
      <c r="C150" s="28"/>
      <c r="D150" s="1"/>
      <c r="E150" s="36"/>
      <c r="F150" s="41"/>
      <c r="G150" s="348"/>
      <c r="H150" s="348"/>
      <c r="I150" s="36"/>
      <c r="J150" s="36"/>
      <c r="K150" s="415"/>
      <c r="L150" s="350"/>
      <c r="M150" s="351"/>
      <c r="N150" s="258"/>
      <c r="O150" s="258"/>
    </row>
    <row r="151" spans="1:15" ht="14.15" customHeight="1" x14ac:dyDescent="0.3">
      <c r="A151" s="404">
        <v>2.2200000000000002</v>
      </c>
      <c r="B151" s="455" t="s">
        <v>224</v>
      </c>
      <c r="C151" s="28"/>
      <c r="D151" s="1"/>
      <c r="E151" s="36"/>
      <c r="F151" s="41"/>
      <c r="G151" s="348"/>
      <c r="H151" s="348"/>
      <c r="I151" s="36"/>
      <c r="J151" s="36"/>
      <c r="K151" s="415">
        <f>H151*D151</f>
        <v>0</v>
      </c>
      <c r="L151" s="350"/>
      <c r="M151" s="351"/>
      <c r="N151" s="258"/>
      <c r="O151" s="258"/>
    </row>
    <row r="152" spans="1:15" ht="14.15" customHeight="1" x14ac:dyDescent="0.3">
      <c r="A152" s="404"/>
      <c r="B152" s="413"/>
      <c r="C152" s="28"/>
      <c r="D152" s="1"/>
      <c r="E152" s="36"/>
      <c r="F152" s="41"/>
      <c r="G152" s="348"/>
      <c r="H152" s="348"/>
      <c r="I152" s="36"/>
      <c r="J152" s="36"/>
      <c r="K152" s="415">
        <f>H152*D152</f>
        <v>0</v>
      </c>
      <c r="L152" s="350"/>
      <c r="M152" s="351"/>
      <c r="N152" s="258"/>
      <c r="O152" s="258"/>
    </row>
    <row r="153" spans="1:15" ht="28" customHeight="1" x14ac:dyDescent="0.3">
      <c r="A153" s="404" t="s">
        <v>225</v>
      </c>
      <c r="B153" s="443" t="s">
        <v>226</v>
      </c>
      <c r="C153" s="1" t="s">
        <v>42</v>
      </c>
      <c r="D153" s="1">
        <v>1</v>
      </c>
      <c r="E153" s="36">
        <f>5000*3</f>
        <v>15000</v>
      </c>
      <c r="F153" s="41">
        <v>0.2</v>
      </c>
      <c r="G153" s="348">
        <f>E153/(1-F153)</f>
        <v>18750</v>
      </c>
      <c r="H153" s="348">
        <v>1</v>
      </c>
      <c r="I153" s="36"/>
      <c r="J153" s="36"/>
      <c r="K153" s="415">
        <f>H153*D153</f>
        <v>1</v>
      </c>
      <c r="L153" s="350">
        <f>G153+H153</f>
        <v>18751</v>
      </c>
      <c r="M153" s="351">
        <f>D153*L153</f>
        <v>18751</v>
      </c>
      <c r="N153" s="258"/>
      <c r="O153" s="258"/>
    </row>
    <row r="154" spans="1:15" ht="14.15" customHeight="1" x14ac:dyDescent="0.3">
      <c r="A154" s="404"/>
      <c r="B154" s="413"/>
      <c r="C154" s="28"/>
      <c r="D154" s="1"/>
      <c r="E154" s="36"/>
      <c r="F154" s="41"/>
      <c r="G154" s="348"/>
      <c r="H154" s="348"/>
      <c r="I154" s="36"/>
      <c r="J154" s="36"/>
      <c r="K154" s="417"/>
      <c r="L154" s="350"/>
      <c r="M154" s="418"/>
      <c r="N154" s="258"/>
      <c r="O154" s="258"/>
    </row>
    <row r="155" spans="1:15" ht="14.5" customHeight="1" thickBot="1" x14ac:dyDescent="0.35">
      <c r="A155" s="440"/>
      <c r="B155" s="413"/>
      <c r="C155" s="28"/>
      <c r="D155" s="1"/>
      <c r="E155" s="36"/>
      <c r="F155" s="41"/>
      <c r="G155" s="348"/>
      <c r="H155" s="348"/>
      <c r="I155" s="36"/>
      <c r="J155" s="36"/>
      <c r="K155" s="417"/>
      <c r="L155" s="350"/>
      <c r="M155" s="418"/>
      <c r="N155" s="258"/>
      <c r="O155" s="258"/>
    </row>
    <row r="156" spans="1:15" ht="18.75" customHeight="1" thickTop="1" x14ac:dyDescent="0.3">
      <c r="A156" s="419"/>
      <c r="B156" s="457" t="s">
        <v>227</v>
      </c>
      <c r="C156" s="2"/>
      <c r="D156" s="2"/>
      <c r="E156" s="39"/>
      <c r="F156" s="42"/>
      <c r="G156" s="421"/>
      <c r="H156" s="421"/>
      <c r="I156" s="39"/>
      <c r="J156" s="39"/>
      <c r="K156" s="422">
        <f>SUM(K11:K153)</f>
        <v>237324.75</v>
      </c>
      <c r="L156" s="458"/>
      <c r="M156" s="424">
        <f>SUM(M11:M155)</f>
        <v>7084504.8650833331</v>
      </c>
      <c r="N156" s="518">
        <f>M156*1.15</f>
        <v>8147180.5948458323</v>
      </c>
      <c r="O156" s="258"/>
    </row>
    <row r="157" spans="1:15" ht="16.5" customHeight="1" x14ac:dyDescent="0.3">
      <c r="A157" s="426"/>
      <c r="B157" s="427"/>
      <c r="C157" s="257"/>
      <c r="D157" s="47"/>
      <c r="E157" s="250"/>
      <c r="F157" s="48"/>
      <c r="G157" s="428"/>
      <c r="H157" s="428"/>
      <c r="I157" s="250"/>
      <c r="J157" s="250"/>
      <c r="K157" s="429"/>
      <c r="L157" s="430"/>
      <c r="M157" s="431"/>
      <c r="N157" s="258"/>
      <c r="O157" s="258"/>
    </row>
    <row r="158" spans="1:15" ht="18.75" customHeight="1" x14ac:dyDescent="0.3">
      <c r="A158" s="258"/>
      <c r="B158" s="387"/>
      <c r="C158" s="34"/>
      <c r="D158" s="249"/>
      <c r="E158" s="249"/>
      <c r="F158" s="249"/>
      <c r="G158" s="432"/>
      <c r="H158" s="432"/>
      <c r="I158" s="249"/>
      <c r="J158" s="249"/>
      <c r="K158" s="432"/>
      <c r="L158" s="433"/>
      <c r="M158" s="434"/>
      <c r="N158" s="258"/>
      <c r="O158" s="258"/>
    </row>
    <row r="159" spans="1:15" ht="18.75" customHeight="1" x14ac:dyDescent="0.25">
      <c r="A159" s="258"/>
      <c r="B159" s="258"/>
      <c r="G159" s="258"/>
      <c r="H159" s="258"/>
      <c r="K159" s="258"/>
      <c r="L159" s="258"/>
      <c r="M159" s="258"/>
      <c r="N159" s="258"/>
      <c r="O159" s="258"/>
    </row>
    <row r="160" spans="1:15" ht="18.75" customHeight="1" x14ac:dyDescent="0.25">
      <c r="A160" s="258"/>
      <c r="B160" s="258"/>
      <c r="G160" s="258"/>
      <c r="H160" s="258"/>
      <c r="K160" s="258"/>
      <c r="L160" s="258"/>
      <c r="M160" s="258"/>
      <c r="N160" s="258"/>
      <c r="O160" s="258"/>
    </row>
    <row r="161" spans="1:15" ht="18.75" customHeight="1" x14ac:dyDescent="0.25">
      <c r="A161" s="258"/>
      <c r="B161" s="258"/>
      <c r="G161" s="258"/>
      <c r="H161" s="258"/>
      <c r="K161" s="258"/>
      <c r="L161" s="258"/>
      <c r="M161" s="258"/>
      <c r="N161" s="258"/>
      <c r="O161" s="258"/>
    </row>
    <row r="162" spans="1:15" ht="18.75" customHeight="1" x14ac:dyDescent="0.25">
      <c r="A162" s="258"/>
      <c r="B162" s="258"/>
      <c r="G162" s="258"/>
      <c r="H162" s="258"/>
      <c r="K162" s="258"/>
      <c r="L162" s="258"/>
      <c r="M162" s="258"/>
      <c r="N162" s="258"/>
      <c r="O162" s="258"/>
    </row>
    <row r="163" spans="1:15" ht="18.75" customHeight="1" x14ac:dyDescent="0.25">
      <c r="A163" s="258"/>
      <c r="B163" s="258"/>
      <c r="G163" s="258"/>
      <c r="H163" s="258"/>
      <c r="K163" s="258"/>
      <c r="L163" s="258"/>
      <c r="M163" s="258"/>
      <c r="N163" s="258"/>
      <c r="O163" s="258"/>
    </row>
    <row r="164" spans="1:15" ht="18.75" customHeight="1" x14ac:dyDescent="0.25">
      <c r="A164" s="258"/>
      <c r="B164" s="258"/>
      <c r="G164" s="258"/>
      <c r="H164" s="258"/>
      <c r="K164" s="258"/>
      <c r="L164" s="258"/>
      <c r="M164" s="258"/>
      <c r="N164" s="258"/>
      <c r="O164" s="258"/>
    </row>
    <row r="165" spans="1:15" ht="18.75" customHeight="1" x14ac:dyDescent="0.25">
      <c r="A165" s="258"/>
      <c r="B165" s="258"/>
      <c r="G165" s="258"/>
      <c r="H165" s="258"/>
      <c r="K165" s="258"/>
      <c r="L165" s="258"/>
      <c r="M165" s="258"/>
      <c r="N165" s="258"/>
      <c r="O165" s="258"/>
    </row>
    <row r="166" spans="1:15" ht="18.75" customHeight="1" x14ac:dyDescent="0.25">
      <c r="A166" s="258"/>
      <c r="B166" s="258"/>
      <c r="G166" s="258"/>
      <c r="H166" s="258"/>
      <c r="K166" s="258"/>
      <c r="L166" s="258"/>
      <c r="M166" s="258"/>
      <c r="N166" s="258"/>
      <c r="O166" s="258"/>
    </row>
    <row r="167" spans="1:15" ht="18.75" customHeight="1" x14ac:dyDescent="0.25">
      <c r="A167" s="258"/>
      <c r="B167" s="258"/>
      <c r="G167" s="258"/>
      <c r="H167" s="258"/>
      <c r="K167" s="258"/>
      <c r="L167" s="258"/>
      <c r="M167" s="258"/>
      <c r="N167" s="258"/>
      <c r="O167" s="258"/>
    </row>
    <row r="168" spans="1:15" s="8" customFormat="1" ht="18.75" customHeight="1" x14ac:dyDescent="0.25">
      <c r="A168" s="258"/>
      <c r="B168" s="435"/>
      <c r="C168" s="35"/>
      <c r="G168" s="258"/>
      <c r="H168" s="258"/>
      <c r="K168" s="258"/>
      <c r="L168" s="436"/>
      <c r="M168" s="437"/>
      <c r="N168" s="258"/>
      <c r="O168" s="258"/>
    </row>
    <row r="169" spans="1:15" s="8" customFormat="1" ht="18.75" customHeight="1" x14ac:dyDescent="0.25">
      <c r="A169" s="258"/>
      <c r="B169" s="435"/>
      <c r="C169" s="35"/>
      <c r="G169" s="258"/>
      <c r="H169" s="258"/>
      <c r="K169" s="258"/>
      <c r="L169" s="436"/>
      <c r="M169" s="437"/>
      <c r="N169" s="258"/>
      <c r="O169" s="258"/>
    </row>
    <row r="170" spans="1:15" s="8" customFormat="1" ht="18.75" customHeight="1" x14ac:dyDescent="0.25">
      <c r="A170" s="258"/>
      <c r="B170" s="435"/>
      <c r="C170" s="35"/>
      <c r="G170" s="258"/>
      <c r="H170" s="258"/>
      <c r="K170" s="258"/>
      <c r="L170" s="436"/>
      <c r="M170" s="437"/>
      <c r="N170" s="258"/>
      <c r="O170" s="258"/>
    </row>
    <row r="171" spans="1:15" s="8" customFormat="1" ht="18.75" customHeight="1" x14ac:dyDescent="0.25">
      <c r="A171" s="258"/>
      <c r="B171" s="435"/>
      <c r="C171" s="35"/>
      <c r="G171" s="258"/>
      <c r="H171" s="258"/>
      <c r="K171" s="258"/>
      <c r="L171" s="436"/>
      <c r="M171" s="437"/>
      <c r="N171" s="258"/>
      <c r="O171" s="258"/>
    </row>
    <row r="172" spans="1:15" s="8" customFormat="1" ht="18.75" customHeight="1" x14ac:dyDescent="0.25">
      <c r="A172" s="258"/>
      <c r="B172" s="435"/>
      <c r="C172" s="35"/>
      <c r="G172" s="258"/>
      <c r="H172" s="258"/>
      <c r="K172" s="258"/>
      <c r="L172" s="436"/>
      <c r="M172" s="437"/>
      <c r="N172" s="258"/>
      <c r="O172" s="258"/>
    </row>
    <row r="173" spans="1:15" s="8" customFormat="1" ht="18.75" customHeight="1" x14ac:dyDescent="0.25">
      <c r="A173" s="258"/>
      <c r="B173" s="435"/>
      <c r="C173" s="35"/>
      <c r="G173" s="258"/>
      <c r="H173" s="258"/>
      <c r="K173" s="258"/>
      <c r="L173" s="436"/>
      <c r="M173" s="437"/>
      <c r="N173" s="258"/>
      <c r="O173" s="258"/>
    </row>
    <row r="174" spans="1:15" s="8" customFormat="1" ht="18.75" customHeight="1" x14ac:dyDescent="0.25">
      <c r="A174" s="258"/>
      <c r="B174" s="435"/>
      <c r="C174" s="35"/>
      <c r="G174" s="258"/>
      <c r="H174" s="258"/>
      <c r="K174" s="258"/>
      <c r="L174" s="436"/>
      <c r="M174" s="437"/>
      <c r="N174" s="258"/>
      <c r="O174" s="258"/>
    </row>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O174"/>
  <sheetViews>
    <sheetView view="pageBreakPreview" zoomScale="70" zoomScaleNormal="100" zoomScaleSheetLayoutView="70" workbookViewId="0">
      <pane ySplit="5" topLeftCell="A15" activePane="bottomLeft" state="frozen"/>
      <selection pane="bottomLeft" activeCell="N156" sqref="N156"/>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4.453125" style="8" customWidth="1"/>
    <col min="8" max="10" width="13.81640625" style="8" customWidth="1"/>
    <col min="11" max="11" width="14.81640625" style="8" bestFit="1" customWidth="1"/>
    <col min="12" max="12" width="13.54296875" style="295" bestFit="1"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5" t="s">
        <v>36</v>
      </c>
      <c r="E5" s="40" t="s">
        <v>72</v>
      </c>
      <c r="F5" s="82" t="s">
        <v>73</v>
      </c>
      <c r="G5" s="313" t="s">
        <v>74</v>
      </c>
      <c r="H5" s="314" t="s">
        <v>75</v>
      </c>
      <c r="I5" s="82" t="s">
        <v>73</v>
      </c>
      <c r="J5" s="315" t="s">
        <v>76</v>
      </c>
      <c r="K5" s="316"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347" t="s">
        <v>419</v>
      </c>
      <c r="C11" s="248" t="s">
        <v>85</v>
      </c>
      <c r="D11" s="1">
        <v>983</v>
      </c>
      <c r="E11" s="36">
        <f>1623.93*1.2</f>
        <v>1948.7159999999999</v>
      </c>
      <c r="F11" s="41">
        <v>0.25</v>
      </c>
      <c r="G11" s="348">
        <f>E11/(1-F11)</f>
        <v>2598.288</v>
      </c>
      <c r="H11" s="348">
        <v>350</v>
      </c>
      <c r="I11" s="83">
        <v>0.15</v>
      </c>
      <c r="J11" s="79">
        <f>H11*(1+I11)</f>
        <v>402.49999999999994</v>
      </c>
      <c r="K11" s="349">
        <f>J11*D11</f>
        <v>395657.49999999994</v>
      </c>
      <c r="L11" s="350">
        <f>G11+J11</f>
        <v>3000.788</v>
      </c>
      <c r="M11" s="351">
        <f>D11*L11</f>
        <v>2949774.6039999998</v>
      </c>
      <c r="N11" s="258"/>
      <c r="O11" s="258"/>
    </row>
    <row r="12" spans="1:15" ht="14.5" customHeight="1" thickBot="1" x14ac:dyDescent="0.35">
      <c r="A12" s="354"/>
      <c r="B12" s="441"/>
      <c r="C12" s="89"/>
      <c r="D12" s="72"/>
      <c r="E12" s="73"/>
      <c r="F12" s="74"/>
      <c r="G12" s="356"/>
      <c r="H12" s="356"/>
      <c r="I12" s="73"/>
      <c r="J12" s="73"/>
      <c r="K12" s="357"/>
      <c r="L12" s="358"/>
      <c r="M12" s="358"/>
      <c r="N12" s="258"/>
      <c r="O12" s="258"/>
    </row>
    <row r="13" spans="1:15" ht="14.15" customHeight="1" x14ac:dyDescent="0.3">
      <c r="A13" s="359" t="s">
        <v>86</v>
      </c>
      <c r="B13" s="360"/>
      <c r="C13" s="55"/>
      <c r="D13" s="58" t="s">
        <v>87</v>
      </c>
      <c r="E13" s="56"/>
      <c r="F13" s="57"/>
      <c r="G13" s="361"/>
      <c r="H13" s="361"/>
      <c r="I13" s="56"/>
      <c r="J13" s="56"/>
      <c r="K13" s="362"/>
      <c r="L13" s="363"/>
      <c r="M13" s="363"/>
      <c r="N13" s="258"/>
      <c r="O13" s="258"/>
    </row>
    <row r="14" spans="1:15" ht="14.5" customHeight="1" thickBot="1" x14ac:dyDescent="0.35">
      <c r="A14" s="341" t="s">
        <v>88</v>
      </c>
      <c r="B14" s="517" t="s">
        <v>420</v>
      </c>
      <c r="C14" s="85" t="s">
        <v>85</v>
      </c>
      <c r="D14" s="50">
        <v>3</v>
      </c>
      <c r="E14" s="36">
        <v>487501.10399999999</v>
      </c>
      <c r="F14" s="41">
        <v>0.2</v>
      </c>
      <c r="G14" s="348">
        <f>E14/(1-F14)</f>
        <v>609376.38</v>
      </c>
      <c r="H14" s="348">
        <f>(550*8)+3600</f>
        <v>8000</v>
      </c>
      <c r="I14" s="83">
        <v>0.15</v>
      </c>
      <c r="J14" s="79">
        <f>H14*(1+I14)</f>
        <v>9200</v>
      </c>
      <c r="K14" s="349">
        <f>J14*D14</f>
        <v>27600</v>
      </c>
      <c r="L14" s="350">
        <f>G14+J14</f>
        <v>618576.38</v>
      </c>
      <c r="M14" s="351">
        <f>D14*L14</f>
        <v>1855729.1400000001</v>
      </c>
      <c r="N14" s="258"/>
      <c r="O14" s="258"/>
    </row>
    <row r="15" spans="1:15" ht="14.5" customHeight="1" thickBot="1" x14ac:dyDescent="0.35">
      <c r="A15" s="354"/>
      <c r="B15" s="441"/>
      <c r="C15" s="89"/>
      <c r="D15" s="72"/>
      <c r="E15" s="73"/>
      <c r="F15" s="74"/>
      <c r="G15" s="356"/>
      <c r="H15" s="356"/>
      <c r="I15" s="73"/>
      <c r="J15" s="73"/>
      <c r="K15" s="357"/>
      <c r="L15" s="358"/>
      <c r="M15" s="358"/>
      <c r="N15" s="258"/>
      <c r="O15" s="258"/>
    </row>
    <row r="16" spans="1:15" ht="14.15" customHeight="1" x14ac:dyDescent="0.3">
      <c r="A16" s="359">
        <v>2.2999999999999998</v>
      </c>
      <c r="B16" s="367"/>
      <c r="C16" s="55"/>
      <c r="D16" s="58" t="s">
        <v>91</v>
      </c>
      <c r="E16" s="56"/>
      <c r="F16" s="57"/>
      <c r="G16" s="361"/>
      <c r="H16" s="361"/>
      <c r="I16" s="56"/>
      <c r="J16" s="56"/>
      <c r="K16" s="362"/>
      <c r="L16" s="363"/>
      <c r="M16" s="363"/>
      <c r="N16" s="258"/>
      <c r="O16" s="258"/>
    </row>
    <row r="17" spans="1:15" ht="14.5" customHeight="1" thickBot="1" x14ac:dyDescent="0.35">
      <c r="A17" s="341" t="s">
        <v>92</v>
      </c>
      <c r="B17" s="446" t="s">
        <v>421</v>
      </c>
      <c r="C17" s="85" t="s">
        <v>85</v>
      </c>
      <c r="D17" s="50">
        <v>3</v>
      </c>
      <c r="E17" s="51">
        <v>90693.34</v>
      </c>
      <c r="F17" s="41">
        <v>0.2</v>
      </c>
      <c r="G17" s="348">
        <f>E17/(1-F17)</f>
        <v>113366.67499999999</v>
      </c>
      <c r="H17" s="348">
        <f>(550*4)+3500</f>
        <v>5700</v>
      </c>
      <c r="I17" s="83">
        <v>0.15</v>
      </c>
      <c r="J17" s="79">
        <f>H17*(1+I17)</f>
        <v>6554.9999999999991</v>
      </c>
      <c r="K17" s="349">
        <f>J17*D17</f>
        <v>19664.999999999996</v>
      </c>
      <c r="L17" s="350">
        <f>G17+J17</f>
        <v>119921.67499999999</v>
      </c>
      <c r="M17" s="351">
        <f>D17*L17</f>
        <v>359765.02499999997</v>
      </c>
      <c r="N17" s="258"/>
      <c r="O17" s="258"/>
    </row>
    <row r="18" spans="1:15" ht="14.5" customHeight="1" thickBot="1" x14ac:dyDescent="0.35">
      <c r="A18" s="341" t="s">
        <v>94</v>
      </c>
      <c r="B18" s="444" t="s">
        <v>422</v>
      </c>
      <c r="C18" s="248" t="s">
        <v>90</v>
      </c>
      <c r="D18" s="1">
        <v>1</v>
      </c>
      <c r="E18" s="36">
        <v>70000</v>
      </c>
      <c r="F18" s="41">
        <v>0.2</v>
      </c>
      <c r="G18" s="348">
        <f>E18/(1-F18)</f>
        <v>87500</v>
      </c>
      <c r="H18" s="348">
        <f>(550*4)+3500</f>
        <v>5700</v>
      </c>
      <c r="I18" s="83">
        <v>0.15</v>
      </c>
      <c r="J18" s="79">
        <f>H18*(1+I18)</f>
        <v>6554.9999999999991</v>
      </c>
      <c r="K18" s="349">
        <f>J18*D18</f>
        <v>6554.9999999999991</v>
      </c>
      <c r="L18" s="350">
        <f>G18+J18</f>
        <v>94055</v>
      </c>
      <c r="M18" s="351">
        <f>D18*L18</f>
        <v>94055</v>
      </c>
      <c r="N18" s="436"/>
      <c r="O18" s="369"/>
    </row>
    <row r="19" spans="1:15" ht="14.15" customHeight="1" x14ac:dyDescent="0.3">
      <c r="A19" s="359">
        <v>2.4</v>
      </c>
      <c r="B19" s="360"/>
      <c r="C19" s="55"/>
      <c r="D19" s="58" t="s">
        <v>96</v>
      </c>
      <c r="E19" s="56"/>
      <c r="F19" s="57"/>
      <c r="G19" s="361"/>
      <c r="H19" s="361"/>
      <c r="I19" s="56"/>
      <c r="J19" s="56"/>
      <c r="K19" s="362"/>
      <c r="L19" s="363"/>
      <c r="M19" s="363"/>
      <c r="N19" s="258"/>
      <c r="O19" s="258"/>
    </row>
    <row r="20" spans="1:15" ht="28" customHeight="1" x14ac:dyDescent="0.3">
      <c r="A20" s="370" t="s">
        <v>97</v>
      </c>
      <c r="B20" s="445" t="s">
        <v>423</v>
      </c>
      <c r="C20" s="7" t="s">
        <v>85</v>
      </c>
      <c r="D20" s="7">
        <v>3</v>
      </c>
      <c r="E20" s="37">
        <v>1087743.0959999999</v>
      </c>
      <c r="F20" s="41">
        <v>0.2</v>
      </c>
      <c r="G20" s="348">
        <f>E20/(1-F20)</f>
        <v>1359678.8699999999</v>
      </c>
      <c r="H20" s="371">
        <f>(550*8)+3600</f>
        <v>8000</v>
      </c>
      <c r="I20" s="83">
        <v>0.15</v>
      </c>
      <c r="J20" s="79">
        <f>H20*(1+I20)</f>
        <v>9200</v>
      </c>
      <c r="K20" s="349">
        <f>J20*D20</f>
        <v>27600</v>
      </c>
      <c r="L20" s="350">
        <f>G20+J20</f>
        <v>1368878.8699999999</v>
      </c>
      <c r="M20" s="351">
        <f>D20*L20</f>
        <v>4106636.6099999994</v>
      </c>
      <c r="N20" s="258"/>
      <c r="O20" s="258"/>
    </row>
    <row r="21" spans="1:15" ht="14.15" customHeight="1" x14ac:dyDescent="0.3">
      <c r="A21" s="370"/>
      <c r="B21" s="443"/>
      <c r="C21" s="7"/>
      <c r="D21" s="7"/>
      <c r="E21" s="37"/>
      <c r="F21" s="41"/>
      <c r="G21" s="348"/>
      <c r="H21" s="371"/>
      <c r="I21" s="66"/>
      <c r="J21" s="66"/>
      <c r="K21" s="349"/>
      <c r="L21" s="350"/>
      <c r="M21" s="351"/>
      <c r="N21" s="258"/>
      <c r="O21" s="258"/>
    </row>
    <row r="22" spans="1:15" ht="14.15" customHeight="1" x14ac:dyDescent="0.3">
      <c r="A22" s="370" t="s">
        <v>99</v>
      </c>
      <c r="B22" s="443"/>
      <c r="C22" s="7"/>
      <c r="D22" s="7"/>
      <c r="E22" s="37"/>
      <c r="F22" s="41"/>
      <c r="G22" s="348"/>
      <c r="H22" s="371"/>
      <c r="I22" s="66"/>
      <c r="J22" s="66"/>
      <c r="K22" s="349"/>
      <c r="L22" s="350"/>
      <c r="M22" s="351"/>
      <c r="N22" s="258"/>
      <c r="O22" s="258"/>
    </row>
    <row r="23" spans="1:15" ht="28.5" customHeight="1" thickBot="1" x14ac:dyDescent="0.35">
      <c r="A23" s="374"/>
      <c r="B23" s="446" t="s">
        <v>100</v>
      </c>
      <c r="C23" s="68" t="s">
        <v>85</v>
      </c>
      <c r="D23" s="68">
        <v>6</v>
      </c>
      <c r="E23" s="69">
        <f>1888.71*1.15</f>
        <v>2172.0164999999997</v>
      </c>
      <c r="F23" s="52">
        <v>0.2</v>
      </c>
      <c r="G23" s="376">
        <f>E23/(1-F23)</f>
        <v>2715.0206249999997</v>
      </c>
      <c r="H23" s="377">
        <f>250*1</f>
        <v>250</v>
      </c>
      <c r="I23" s="83">
        <v>0.15</v>
      </c>
      <c r="J23" s="79">
        <f>H23*(1+I23)</f>
        <v>287.5</v>
      </c>
      <c r="K23" s="349">
        <f>J23*D23</f>
        <v>1725</v>
      </c>
      <c r="L23" s="350">
        <f>G23+J23</f>
        <v>3002.5206249999997</v>
      </c>
      <c r="M23" s="378">
        <f>D23*L23</f>
        <v>18015.123749999999</v>
      </c>
      <c r="N23" s="258"/>
      <c r="O23" s="258"/>
    </row>
    <row r="24" spans="1:15" ht="14.5" customHeight="1" thickBot="1" x14ac:dyDescent="0.35">
      <c r="A24" s="354"/>
      <c r="B24" s="441"/>
      <c r="C24" s="89"/>
      <c r="D24" s="72"/>
      <c r="E24" s="73"/>
      <c r="F24" s="74"/>
      <c r="G24" s="356"/>
      <c r="H24" s="356"/>
      <c r="I24" s="73"/>
      <c r="J24" s="73"/>
      <c r="K24" s="357"/>
      <c r="L24" s="358"/>
      <c r="M24" s="358"/>
      <c r="N24" s="258"/>
      <c r="O24" s="258"/>
    </row>
    <row r="25" spans="1:15" ht="14.15" customHeight="1" x14ac:dyDescent="0.3">
      <c r="A25" s="379">
        <v>2.5</v>
      </c>
      <c r="B25" s="360"/>
      <c r="C25" s="55"/>
      <c r="D25" s="58" t="s">
        <v>101</v>
      </c>
      <c r="E25" s="56"/>
      <c r="F25" s="57"/>
      <c r="G25" s="361"/>
      <c r="H25" s="361"/>
      <c r="I25" s="56"/>
      <c r="J25" s="56"/>
      <c r="K25" s="362"/>
      <c r="L25" s="363"/>
      <c r="M25" s="363"/>
      <c r="N25" s="258"/>
      <c r="O25" s="258"/>
    </row>
    <row r="26" spans="1:15" ht="14.15" customHeight="1" x14ac:dyDescent="0.3">
      <c r="A26" s="380" t="s">
        <v>102</v>
      </c>
      <c r="B26" s="444" t="s">
        <v>103</v>
      </c>
      <c r="C26" s="7" t="s">
        <v>85</v>
      </c>
      <c r="D26" s="7">
        <f>D11</f>
        <v>983</v>
      </c>
      <c r="E26" s="37">
        <v>650</v>
      </c>
      <c r="F26" s="41">
        <v>0.2</v>
      </c>
      <c r="G26" s="348">
        <f>E26/(1-F26)</f>
        <v>812.5</v>
      </c>
      <c r="H26" s="371">
        <f>(((5*200)*4)*1.2)/D26</f>
        <v>4.8830111902339777</v>
      </c>
      <c r="I26" s="83">
        <v>0.15</v>
      </c>
      <c r="J26" s="79">
        <f>H26*(1+I26)</f>
        <v>5.6154628687690735</v>
      </c>
      <c r="K26" s="349">
        <f>J26*D26</f>
        <v>5519.9999999999991</v>
      </c>
      <c r="L26" s="350">
        <f>G26+J26</f>
        <v>818.1154628687691</v>
      </c>
      <c r="M26" s="351">
        <f>D26*L26</f>
        <v>804207.5</v>
      </c>
      <c r="N26" s="258"/>
      <c r="O26" s="258"/>
    </row>
    <row r="27" spans="1:15" ht="14.5" customHeight="1" thickBot="1" x14ac:dyDescent="0.35">
      <c r="A27" s="381"/>
      <c r="B27" s="446" t="s">
        <v>104</v>
      </c>
      <c r="C27" s="85" t="s">
        <v>42</v>
      </c>
      <c r="D27" s="50">
        <v>1</v>
      </c>
      <c r="E27" s="51">
        <f>10000</f>
        <v>10000</v>
      </c>
      <c r="F27" s="52">
        <v>0.2</v>
      </c>
      <c r="G27" s="376">
        <f>E27/(1-F27)</f>
        <v>12500</v>
      </c>
      <c r="H27" s="376">
        <f>2500*3</f>
        <v>7500</v>
      </c>
      <c r="I27" s="83">
        <v>0.15</v>
      </c>
      <c r="J27" s="79">
        <f>H27*(1+I27)</f>
        <v>8625</v>
      </c>
      <c r="K27" s="382">
        <f>J27*D27</f>
        <v>8625</v>
      </c>
      <c r="L27" s="350">
        <f>G27+J27</f>
        <v>21125</v>
      </c>
      <c r="M27" s="378">
        <f>D27*L27</f>
        <v>21125</v>
      </c>
      <c r="N27" s="258"/>
      <c r="O27" s="258"/>
    </row>
    <row r="28" spans="1:15" ht="14.5" customHeight="1" thickBot="1" x14ac:dyDescent="0.35">
      <c r="A28" s="354"/>
      <c r="B28" s="441"/>
      <c r="C28" s="89"/>
      <c r="D28" s="72"/>
      <c r="E28" s="73"/>
      <c r="F28" s="74"/>
      <c r="G28" s="356"/>
      <c r="H28" s="356"/>
      <c r="I28" s="73"/>
      <c r="J28" s="73"/>
      <c r="K28" s="357"/>
      <c r="L28" s="358"/>
      <c r="M28" s="358"/>
      <c r="N28" s="258"/>
      <c r="O28" s="258"/>
    </row>
    <row r="29" spans="1:15" ht="14.15" customHeight="1" x14ac:dyDescent="0.3">
      <c r="A29" s="359">
        <v>2.6</v>
      </c>
      <c r="B29" s="360"/>
      <c r="C29" s="55"/>
      <c r="D29" s="58" t="s">
        <v>105</v>
      </c>
      <c r="E29" s="56"/>
      <c r="F29" s="57"/>
      <c r="G29" s="361"/>
      <c r="H29" s="361"/>
      <c r="I29" s="56"/>
      <c r="J29" s="56"/>
      <c r="K29" s="362"/>
      <c r="L29" s="363"/>
      <c r="M29" s="363"/>
      <c r="N29" s="258"/>
      <c r="O29" s="258"/>
    </row>
    <row r="30" spans="1:15" ht="42" customHeight="1" x14ac:dyDescent="0.3">
      <c r="A30" s="341" t="s">
        <v>106</v>
      </c>
      <c r="B30" s="444" t="s">
        <v>107</v>
      </c>
      <c r="C30" s="248" t="s">
        <v>108</v>
      </c>
      <c r="D30" s="1">
        <v>2000</v>
      </c>
      <c r="E30" s="36">
        <f>14.85*1.15</f>
        <v>17.077499999999997</v>
      </c>
      <c r="F30" s="41">
        <v>0.2</v>
      </c>
      <c r="G30" s="348">
        <f>E30/(1-F30)</f>
        <v>21.346874999999994</v>
      </c>
      <c r="H30" s="348">
        <f>39</f>
        <v>39</v>
      </c>
      <c r="I30" s="83">
        <v>0.15</v>
      </c>
      <c r="J30" s="79">
        <f>H30*(1+I30)</f>
        <v>44.849999999999994</v>
      </c>
      <c r="K30" s="349">
        <f>J30*D30</f>
        <v>89699.999999999985</v>
      </c>
      <c r="L30" s="350">
        <f>G30+J30</f>
        <v>66.196874999999991</v>
      </c>
      <c r="M30" s="351">
        <f>D30*L30</f>
        <v>132393.74999999997</v>
      </c>
      <c r="N30" s="258"/>
      <c r="O30" s="258"/>
    </row>
    <row r="31" spans="1:15" ht="14.15" customHeight="1" x14ac:dyDescent="0.3">
      <c r="A31" s="341" t="s">
        <v>109</v>
      </c>
      <c r="B31" s="443" t="s">
        <v>110</v>
      </c>
      <c r="C31" s="248" t="s">
        <v>108</v>
      </c>
      <c r="D31" s="1">
        <f>20 +N("1m * 20 cables")</f>
        <v>20</v>
      </c>
      <c r="E31" s="36">
        <f>180*1.15</f>
        <v>206.99999999999997</v>
      </c>
      <c r="F31" s="41">
        <v>0.2</v>
      </c>
      <c r="G31" s="348">
        <f>E31/(1-F31)</f>
        <v>258.74999999999994</v>
      </c>
      <c r="H31" s="348">
        <f>65</f>
        <v>65</v>
      </c>
      <c r="I31" s="83">
        <v>0.15</v>
      </c>
      <c r="J31" s="79">
        <f>H31*(1+I31)</f>
        <v>74.75</v>
      </c>
      <c r="K31" s="349">
        <f>J31*D31</f>
        <v>1495</v>
      </c>
      <c r="L31" s="350">
        <f>G31+J31</f>
        <v>333.49999999999994</v>
      </c>
      <c r="M31" s="351">
        <f>D31*L31</f>
        <v>6669.9999999999991</v>
      </c>
      <c r="N31" s="258"/>
      <c r="O31" s="258"/>
    </row>
    <row r="32" spans="1:15" ht="14.15" customHeight="1" x14ac:dyDescent="0.3">
      <c r="A32" s="341" t="s">
        <v>111</v>
      </c>
      <c r="B32" s="443" t="s">
        <v>112</v>
      </c>
      <c r="C32" s="248" t="s">
        <v>108</v>
      </c>
      <c r="D32" s="1">
        <v>0</v>
      </c>
      <c r="E32" s="36">
        <f>190</f>
        <v>190</v>
      </c>
      <c r="F32" s="41">
        <v>0.2</v>
      </c>
      <c r="G32" s="348">
        <f>E32/(1-F32)</f>
        <v>237.5</v>
      </c>
      <c r="H32" s="348">
        <f>65</f>
        <v>65</v>
      </c>
      <c r="I32" s="83">
        <v>0.15</v>
      </c>
      <c r="J32" s="79">
        <f>H32*(1+I32)</f>
        <v>74.75</v>
      </c>
      <c r="K32" s="349">
        <f>J32*D32</f>
        <v>0</v>
      </c>
      <c r="L32" s="350">
        <f>G32+J32</f>
        <v>312.25</v>
      </c>
      <c r="M32" s="351">
        <f>D32*L32</f>
        <v>0</v>
      </c>
      <c r="N32" s="258"/>
      <c r="O32" s="258"/>
    </row>
    <row r="33" spans="1:15" ht="14.5" customHeight="1" thickBot="1" x14ac:dyDescent="0.35">
      <c r="A33" s="381"/>
      <c r="B33" s="447" t="s">
        <v>113</v>
      </c>
      <c r="C33" s="85" t="s">
        <v>108</v>
      </c>
      <c r="D33" s="50">
        <v>0</v>
      </c>
      <c r="E33" s="51">
        <f>110</f>
        <v>110</v>
      </c>
      <c r="F33" s="52">
        <v>0.2</v>
      </c>
      <c r="G33" s="376">
        <f>E33/(1-F33)</f>
        <v>137.5</v>
      </c>
      <c r="H33" s="376">
        <f>65</f>
        <v>65</v>
      </c>
      <c r="I33" s="83">
        <v>0.15</v>
      </c>
      <c r="J33" s="79">
        <f>H33*(1+I33)</f>
        <v>74.75</v>
      </c>
      <c r="K33" s="382">
        <f>J33*D33</f>
        <v>0</v>
      </c>
      <c r="L33" s="350">
        <f>G33+J33</f>
        <v>212.25</v>
      </c>
      <c r="M33" s="378">
        <f>D33*L33</f>
        <v>0</v>
      </c>
      <c r="N33" s="258"/>
      <c r="O33" s="258"/>
    </row>
    <row r="34" spans="1:15" ht="14.5" customHeight="1" thickBot="1" x14ac:dyDescent="0.35">
      <c r="A34" s="354"/>
      <c r="B34" s="441"/>
      <c r="C34" s="89"/>
      <c r="D34" s="72"/>
      <c r="E34" s="73"/>
      <c r="F34" s="74"/>
      <c r="G34" s="356"/>
      <c r="H34" s="356"/>
      <c r="I34" s="73"/>
      <c r="J34" s="73"/>
      <c r="K34" s="357"/>
      <c r="L34" s="358"/>
      <c r="M34" s="358"/>
      <c r="N34" s="258"/>
      <c r="O34" s="258"/>
    </row>
    <row r="35" spans="1:15" ht="14.15" customHeight="1" x14ac:dyDescent="0.3">
      <c r="A35" s="359">
        <v>2.7</v>
      </c>
      <c r="B35" s="360"/>
      <c r="C35" s="55"/>
      <c r="D35" s="58" t="s">
        <v>114</v>
      </c>
      <c r="E35" s="56"/>
      <c r="F35" s="57"/>
      <c r="G35" s="361"/>
      <c r="H35" s="361"/>
      <c r="I35" s="56"/>
      <c r="J35" s="56"/>
      <c r="K35" s="362"/>
      <c r="L35" s="363"/>
      <c r="M35" s="363"/>
      <c r="N35" s="258"/>
      <c r="O35" s="258"/>
    </row>
    <row r="36" spans="1:15" ht="28" customHeight="1" x14ac:dyDescent="0.3">
      <c r="A36" s="370" t="s">
        <v>115</v>
      </c>
      <c r="B36" s="444" t="s">
        <v>116</v>
      </c>
      <c r="C36" s="7" t="s">
        <v>90</v>
      </c>
      <c r="D36" s="7">
        <v>0</v>
      </c>
      <c r="E36" s="37">
        <f>13501.37*1.2</f>
        <v>16201.644</v>
      </c>
      <c r="F36" s="41">
        <v>0.2</v>
      </c>
      <c r="G36" s="348">
        <f>E36/(1-F36)</f>
        <v>20252.055</v>
      </c>
      <c r="H36" s="371">
        <f>250*2</f>
        <v>500</v>
      </c>
      <c r="I36" s="83">
        <v>0.15</v>
      </c>
      <c r="J36" s="79">
        <f>H36*(1+I36)</f>
        <v>575</v>
      </c>
      <c r="K36" s="349">
        <f>J36*D36</f>
        <v>0</v>
      </c>
      <c r="L36" s="350">
        <f>G36+J36</f>
        <v>20827.055</v>
      </c>
      <c r="M36" s="351">
        <f>D36*L36</f>
        <v>0</v>
      </c>
      <c r="N36" s="258"/>
      <c r="O36" s="258"/>
    </row>
    <row r="37" spans="1:15" ht="28.5" customHeight="1" thickBot="1" x14ac:dyDescent="0.35">
      <c r="A37" s="381" t="s">
        <v>117</v>
      </c>
      <c r="B37" s="446" t="s">
        <v>424</v>
      </c>
      <c r="C37" s="68" t="s">
        <v>90</v>
      </c>
      <c r="D37" s="68">
        <v>6</v>
      </c>
      <c r="E37" s="69">
        <v>17000</v>
      </c>
      <c r="F37" s="52">
        <v>0.2</v>
      </c>
      <c r="G37" s="376">
        <f>E37/(1-F37)</f>
        <v>21250</v>
      </c>
      <c r="H37" s="377">
        <f>250*2</f>
        <v>500</v>
      </c>
      <c r="I37" s="83">
        <v>0.15</v>
      </c>
      <c r="J37" s="79">
        <f>H37*(1+I37)</f>
        <v>575</v>
      </c>
      <c r="K37" s="382">
        <f>J37*D37</f>
        <v>3450</v>
      </c>
      <c r="L37" s="350">
        <f>G37+J37</f>
        <v>21825</v>
      </c>
      <c r="M37" s="378">
        <f>D37*L37</f>
        <v>130950</v>
      </c>
      <c r="N37" s="258"/>
      <c r="O37" s="258"/>
    </row>
    <row r="38" spans="1:15" ht="14.5" customHeight="1" thickBot="1" x14ac:dyDescent="0.35">
      <c r="A38" s="354"/>
      <c r="B38" s="441"/>
      <c r="C38" s="89"/>
      <c r="D38" s="72"/>
      <c r="E38" s="73"/>
      <c r="F38" s="74"/>
      <c r="G38" s="356"/>
      <c r="H38" s="356"/>
      <c r="I38" s="73"/>
      <c r="J38" s="73"/>
      <c r="K38" s="357"/>
      <c r="L38" s="358"/>
      <c r="M38" s="358"/>
      <c r="N38" s="258"/>
      <c r="O38" s="258"/>
    </row>
    <row r="39" spans="1:15" ht="16.5" customHeight="1" x14ac:dyDescent="0.3">
      <c r="A39" s="359">
        <v>2.8</v>
      </c>
      <c r="B39" s="360"/>
      <c r="C39" s="55"/>
      <c r="D39" s="58" t="s">
        <v>119</v>
      </c>
      <c r="E39" s="56"/>
      <c r="F39" s="57"/>
      <c r="G39" s="361"/>
      <c r="H39" s="361"/>
      <c r="I39" s="56"/>
      <c r="J39" s="56"/>
      <c r="K39" s="362"/>
      <c r="L39" s="363"/>
      <c r="M39" s="363"/>
      <c r="N39" s="258"/>
      <c r="O39" s="258"/>
    </row>
    <row r="40" spans="1:15" ht="16.5" customHeight="1" x14ac:dyDescent="0.3">
      <c r="A40" s="384"/>
      <c r="B40" s="342"/>
      <c r="C40" s="248"/>
      <c r="D40" s="1"/>
      <c r="E40" s="36"/>
      <c r="F40" s="41"/>
      <c r="G40" s="348"/>
      <c r="H40" s="348"/>
      <c r="I40" s="83"/>
      <c r="J40" s="79"/>
      <c r="K40" s="349"/>
      <c r="L40" s="350"/>
      <c r="M40" s="351"/>
      <c r="N40" s="258"/>
      <c r="O40" s="258"/>
    </row>
    <row r="41" spans="1:15" ht="14.15" customHeight="1" x14ac:dyDescent="0.3">
      <c r="A41" s="341" t="s">
        <v>120</v>
      </c>
      <c r="B41" s="385" t="s">
        <v>121</v>
      </c>
      <c r="C41" s="248" t="s">
        <v>85</v>
      </c>
      <c r="D41" s="1">
        <v>3</v>
      </c>
      <c r="E41" s="36">
        <v>2500</v>
      </c>
      <c r="F41" s="41">
        <v>0.2</v>
      </c>
      <c r="G41" s="348">
        <f>E41/(1-F41)</f>
        <v>3125</v>
      </c>
      <c r="H41" s="348">
        <f>(250+100)*4</f>
        <v>1400</v>
      </c>
      <c r="I41" s="83">
        <v>0.15</v>
      </c>
      <c r="J41" s="79">
        <f>H41*(1+I41)</f>
        <v>1609.9999999999998</v>
      </c>
      <c r="K41" s="349">
        <f>J41*D41</f>
        <v>4829.9999999999991</v>
      </c>
      <c r="L41" s="350">
        <f>G41+J41</f>
        <v>4735</v>
      </c>
      <c r="M41" s="351">
        <f>D41*L41</f>
        <v>14205</v>
      </c>
      <c r="N41" s="258"/>
      <c r="O41" s="258"/>
    </row>
    <row r="42" spans="1:15" ht="14.15" customHeight="1" x14ac:dyDescent="0.3">
      <c r="A42" s="341"/>
      <c r="B42" s="448"/>
      <c r="C42" s="88"/>
      <c r="D42" s="1"/>
      <c r="E42" s="36"/>
      <c r="F42" s="41"/>
      <c r="G42" s="348"/>
      <c r="H42" s="348"/>
      <c r="I42" s="79"/>
      <c r="J42" s="79"/>
      <c r="K42" s="349"/>
      <c r="L42" s="350"/>
      <c r="M42" s="351"/>
      <c r="N42" s="258"/>
      <c r="O42" s="258"/>
    </row>
    <row r="43" spans="1:15" ht="14.15" customHeight="1" x14ac:dyDescent="0.3">
      <c r="A43" s="341" t="s">
        <v>122</v>
      </c>
      <c r="B43" s="385" t="s">
        <v>123</v>
      </c>
      <c r="C43" s="248" t="s">
        <v>85</v>
      </c>
      <c r="D43" s="1">
        <f>6 + N("Isolator on each inverter in and out") + 10 + N("For labs")</f>
        <v>16</v>
      </c>
      <c r="E43" s="36">
        <v>1800</v>
      </c>
      <c r="F43" s="41">
        <v>0.2</v>
      </c>
      <c r="G43" s="348">
        <f>E43/(1-F43)</f>
        <v>2250</v>
      </c>
      <c r="H43" s="348">
        <f>(250+100)*4</f>
        <v>1400</v>
      </c>
      <c r="I43" s="83">
        <v>0.15</v>
      </c>
      <c r="J43" s="79">
        <f>H43*(1+I43)</f>
        <v>1609.9999999999998</v>
      </c>
      <c r="K43" s="349">
        <f>J43*D43</f>
        <v>25759.999999999996</v>
      </c>
      <c r="L43" s="350">
        <f>G43+J43</f>
        <v>3860</v>
      </c>
      <c r="M43" s="351">
        <f>D43*L43</f>
        <v>61760</v>
      </c>
      <c r="N43" s="258"/>
      <c r="O43" s="258"/>
    </row>
    <row r="44" spans="1:15" ht="14.15" customHeight="1" x14ac:dyDescent="0.3">
      <c r="A44" s="341"/>
      <c r="B44" s="385"/>
      <c r="C44" s="248"/>
      <c r="D44" s="1"/>
      <c r="E44" s="36"/>
      <c r="F44" s="41"/>
      <c r="G44" s="348"/>
      <c r="H44" s="348"/>
      <c r="I44" s="79"/>
      <c r="J44" s="79"/>
      <c r="K44" s="349"/>
      <c r="L44" s="350"/>
      <c r="M44" s="351"/>
      <c r="N44" s="258"/>
      <c r="O44" s="258"/>
    </row>
    <row r="45" spans="1:15" ht="14.15" customHeight="1" x14ac:dyDescent="0.3">
      <c r="A45" s="341" t="s">
        <v>124</v>
      </c>
      <c r="B45" s="385" t="s">
        <v>125</v>
      </c>
      <c r="C45" s="248" t="s">
        <v>85</v>
      </c>
      <c r="D45" s="1">
        <v>10</v>
      </c>
      <c r="E45" s="36">
        <f>550*1.2</f>
        <v>660</v>
      </c>
      <c r="F45" s="41">
        <v>0.2</v>
      </c>
      <c r="G45" s="348">
        <f>E45/(1-F45)</f>
        <v>825</v>
      </c>
      <c r="H45" s="348">
        <f>(250+100)*4</f>
        <v>1400</v>
      </c>
      <c r="I45" s="83">
        <v>0.15</v>
      </c>
      <c r="J45" s="79">
        <f>H45*(1+I45)</f>
        <v>1609.9999999999998</v>
      </c>
      <c r="K45" s="349">
        <f>J45*D45</f>
        <v>16099.999999999998</v>
      </c>
      <c r="L45" s="350">
        <f>G45+J45</f>
        <v>2435</v>
      </c>
      <c r="M45" s="351">
        <f>D45*L45</f>
        <v>24350</v>
      </c>
      <c r="N45" s="258"/>
      <c r="O45" s="258"/>
    </row>
    <row r="46" spans="1:15" ht="14.15" customHeight="1" x14ac:dyDescent="0.3">
      <c r="A46" s="341"/>
      <c r="B46" s="387"/>
      <c r="C46" s="88"/>
      <c r="D46" s="1"/>
      <c r="E46" s="36"/>
      <c r="F46" s="41"/>
      <c r="G46" s="348"/>
      <c r="H46" s="348"/>
      <c r="I46" s="79"/>
      <c r="J46" s="79"/>
      <c r="K46" s="349"/>
      <c r="L46" s="350"/>
      <c r="M46" s="351"/>
      <c r="N46" s="258"/>
      <c r="O46" s="258"/>
    </row>
    <row r="47" spans="1:15" ht="14.5" customHeight="1" thickBot="1" x14ac:dyDescent="0.35">
      <c r="A47" s="381" t="s">
        <v>126</v>
      </c>
      <c r="B47" s="388" t="s">
        <v>127</v>
      </c>
      <c r="C47" s="85" t="s">
        <v>85</v>
      </c>
      <c r="D47" s="50">
        <v>0</v>
      </c>
      <c r="E47" s="51">
        <f>550*1.2</f>
        <v>660</v>
      </c>
      <c r="F47" s="52">
        <v>0.2</v>
      </c>
      <c r="G47" s="376">
        <f>E47/(1-F47)</f>
        <v>825</v>
      </c>
      <c r="H47" s="376">
        <f>(250+100)*4</f>
        <v>1400</v>
      </c>
      <c r="I47" s="83">
        <v>0.15</v>
      </c>
      <c r="J47" s="79">
        <f>H47*(1+I47)</f>
        <v>1609.9999999999998</v>
      </c>
      <c r="K47" s="349">
        <f>J47*D47</f>
        <v>0</v>
      </c>
      <c r="L47" s="350">
        <f>G47+J47</f>
        <v>2435</v>
      </c>
      <c r="M47" s="378">
        <f>D47*L47</f>
        <v>0</v>
      </c>
      <c r="N47" s="258"/>
      <c r="O47" s="258"/>
    </row>
    <row r="48" spans="1:15" ht="14.5" customHeight="1" thickBot="1" x14ac:dyDescent="0.35">
      <c r="A48" s="354"/>
      <c r="B48" s="441"/>
      <c r="C48" s="89"/>
      <c r="D48" s="72"/>
      <c r="E48" s="73"/>
      <c r="F48" s="74"/>
      <c r="G48" s="356"/>
      <c r="H48" s="356"/>
      <c r="I48" s="73"/>
      <c r="J48" s="73"/>
      <c r="K48" s="357"/>
      <c r="L48" s="358"/>
      <c r="M48" s="358"/>
      <c r="N48" s="258"/>
      <c r="O48" s="258"/>
    </row>
    <row r="49" spans="1:15" ht="16.5" customHeight="1" x14ac:dyDescent="0.3">
      <c r="A49" s="359">
        <v>2.9</v>
      </c>
      <c r="B49" s="367"/>
      <c r="C49" s="55"/>
      <c r="D49" s="58" t="s">
        <v>128</v>
      </c>
      <c r="E49" s="56"/>
      <c r="F49" s="57"/>
      <c r="G49" s="361"/>
      <c r="H49" s="361"/>
      <c r="I49" s="56"/>
      <c r="J49" s="56"/>
      <c r="K49" s="362"/>
      <c r="L49" s="363"/>
      <c r="M49" s="363"/>
      <c r="N49" s="258"/>
      <c r="O49" s="258"/>
    </row>
    <row r="50" spans="1:15" ht="16.5" customHeight="1" x14ac:dyDescent="0.3">
      <c r="A50" s="341"/>
      <c r="B50" s="342"/>
      <c r="C50" s="248"/>
      <c r="D50" s="1"/>
      <c r="E50" s="36"/>
      <c r="F50" s="41"/>
      <c r="G50" s="348"/>
      <c r="H50" s="348"/>
      <c r="I50" s="79"/>
      <c r="J50" s="79"/>
      <c r="K50" s="349"/>
      <c r="L50" s="350"/>
      <c r="M50" s="351"/>
      <c r="N50" s="258"/>
      <c r="O50" s="258"/>
    </row>
    <row r="51" spans="1:15" ht="14.15" customHeight="1" x14ac:dyDescent="0.3">
      <c r="A51" s="341" t="s">
        <v>129</v>
      </c>
      <c r="B51" s="385" t="s">
        <v>130</v>
      </c>
      <c r="C51" s="248" t="s">
        <v>85</v>
      </c>
      <c r="D51" s="1">
        <v>10</v>
      </c>
      <c r="E51" s="36">
        <v>2500</v>
      </c>
      <c r="F51" s="41">
        <v>0.2</v>
      </c>
      <c r="G51" s="348">
        <f>E51/(1-F51)</f>
        <v>3125</v>
      </c>
      <c r="H51" s="348">
        <f>250*1</f>
        <v>250</v>
      </c>
      <c r="I51" s="83">
        <v>0.15</v>
      </c>
      <c r="J51" s="79">
        <f>H51*(1+I51)</f>
        <v>287.5</v>
      </c>
      <c r="K51" s="349">
        <f>J51*D51</f>
        <v>2875</v>
      </c>
      <c r="L51" s="350">
        <f>G51+J51</f>
        <v>3412.5</v>
      </c>
      <c r="M51" s="351">
        <f>D51*L51</f>
        <v>34125</v>
      </c>
      <c r="N51" s="258"/>
      <c r="O51" s="258"/>
    </row>
    <row r="52" spans="1:15" ht="14.15" customHeight="1" x14ac:dyDescent="0.3">
      <c r="A52" s="341"/>
      <c r="B52" s="385"/>
      <c r="C52" s="248"/>
      <c r="D52" s="1"/>
      <c r="E52" s="36"/>
      <c r="F52" s="41"/>
      <c r="G52" s="348"/>
      <c r="H52" s="348"/>
      <c r="I52" s="79"/>
      <c r="J52" s="79"/>
      <c r="K52" s="349"/>
      <c r="L52" s="350"/>
      <c r="M52" s="351"/>
      <c r="N52" s="258"/>
      <c r="O52" s="258"/>
    </row>
    <row r="53" spans="1:15" ht="14.15" customHeight="1" x14ac:dyDescent="0.3">
      <c r="A53" s="341" t="s">
        <v>131</v>
      </c>
      <c r="B53" s="385" t="s">
        <v>132</v>
      </c>
      <c r="C53" s="248" t="s">
        <v>85</v>
      </c>
      <c r="D53" s="1">
        <v>16</v>
      </c>
      <c r="E53" s="36">
        <v>5729</v>
      </c>
      <c r="F53" s="41">
        <v>0.2</v>
      </c>
      <c r="G53" s="348">
        <f>E53/(1-F53)</f>
        <v>7161.25</v>
      </c>
      <c r="H53" s="348">
        <v>250</v>
      </c>
      <c r="I53" s="83">
        <v>0.15</v>
      </c>
      <c r="J53" s="79">
        <f>H53*(1+I53)</f>
        <v>287.5</v>
      </c>
      <c r="K53" s="349">
        <f>J53*D53</f>
        <v>4600</v>
      </c>
      <c r="L53" s="350">
        <f>G53+J53</f>
        <v>7448.75</v>
      </c>
      <c r="M53" s="351">
        <f>D53*L53</f>
        <v>119180</v>
      </c>
      <c r="N53" s="258"/>
      <c r="O53" s="258"/>
    </row>
    <row r="54" spans="1:15" ht="14.15" customHeight="1" x14ac:dyDescent="0.3">
      <c r="A54" s="341"/>
      <c r="B54" s="387"/>
      <c r="C54" s="88"/>
      <c r="D54" s="1"/>
      <c r="E54" s="36"/>
      <c r="F54" s="41"/>
      <c r="G54" s="348"/>
      <c r="H54" s="348"/>
      <c r="I54" s="79"/>
      <c r="J54" s="79"/>
      <c r="K54" s="349"/>
      <c r="L54" s="350"/>
      <c r="M54" s="351"/>
      <c r="N54" s="258"/>
      <c r="O54" s="258"/>
    </row>
    <row r="55" spans="1:15" ht="14.15" customHeight="1" x14ac:dyDescent="0.3">
      <c r="A55" s="341" t="s">
        <v>133</v>
      </c>
      <c r="B55" s="387" t="s">
        <v>134</v>
      </c>
      <c r="C55" s="248" t="s">
        <v>85</v>
      </c>
      <c r="D55" s="1">
        <v>26</v>
      </c>
      <c r="E55" s="36">
        <f>5729</f>
        <v>5729</v>
      </c>
      <c r="F55" s="41">
        <v>0.2</v>
      </c>
      <c r="G55" s="348">
        <f>E55/(1-F55)</f>
        <v>7161.25</v>
      </c>
      <c r="H55" s="348">
        <v>250</v>
      </c>
      <c r="I55" s="83">
        <v>0.15</v>
      </c>
      <c r="J55" s="79">
        <f>H55*(1+I55)</f>
        <v>287.5</v>
      </c>
      <c r="K55" s="349">
        <f>J55*D55</f>
        <v>7475</v>
      </c>
      <c r="L55" s="350">
        <f>G55+J55</f>
        <v>7448.75</v>
      </c>
      <c r="M55" s="351">
        <f>D55*L55</f>
        <v>193667.5</v>
      </c>
      <c r="N55" s="258"/>
      <c r="O55" s="258"/>
    </row>
    <row r="56" spans="1:15" ht="14.15" customHeight="1" x14ac:dyDescent="0.3">
      <c r="A56" s="341"/>
      <c r="B56" s="387"/>
      <c r="C56" s="248"/>
      <c r="D56" s="1"/>
      <c r="E56" s="36"/>
      <c r="F56" s="41"/>
      <c r="G56" s="348"/>
      <c r="H56" s="348"/>
      <c r="I56" s="83"/>
      <c r="J56" s="79"/>
      <c r="K56" s="349"/>
      <c r="L56" s="350"/>
      <c r="M56" s="351"/>
      <c r="N56" s="258"/>
      <c r="O56" s="258"/>
    </row>
    <row r="57" spans="1:15" ht="14.15" customHeight="1" x14ac:dyDescent="0.3">
      <c r="A57" s="341"/>
      <c r="B57" s="385" t="s">
        <v>425</v>
      </c>
      <c r="C57" s="248" t="s">
        <v>85</v>
      </c>
      <c r="D57" s="1">
        <v>3</v>
      </c>
      <c r="E57" s="36">
        <f>40000*1.2</f>
        <v>48000</v>
      </c>
      <c r="F57" s="41">
        <v>0.2</v>
      </c>
      <c r="G57" s="348">
        <f>E57/(1-F57)</f>
        <v>60000</v>
      </c>
      <c r="H57" s="348">
        <v>250</v>
      </c>
      <c r="I57" s="83">
        <v>0.15</v>
      </c>
      <c r="J57" s="79">
        <f>H57*(1+I57)</f>
        <v>287.5</v>
      </c>
      <c r="K57" s="349">
        <f>J57*D57</f>
        <v>862.5</v>
      </c>
      <c r="L57" s="350">
        <f>G57+J57</f>
        <v>60287.5</v>
      </c>
      <c r="M57" s="351">
        <f>D57*L57</f>
        <v>180862.5</v>
      </c>
      <c r="N57" s="258"/>
      <c r="O57" s="258"/>
    </row>
    <row r="58" spans="1:15" ht="14.15" customHeight="1" x14ac:dyDescent="0.3">
      <c r="A58" s="341"/>
      <c r="B58" s="387"/>
      <c r="C58" s="87"/>
      <c r="D58" s="1"/>
      <c r="E58" s="36"/>
      <c r="F58" s="41"/>
      <c r="G58" s="348"/>
      <c r="H58" s="348"/>
      <c r="I58" s="79"/>
      <c r="J58" s="79"/>
      <c r="K58" s="349"/>
      <c r="L58" s="350"/>
      <c r="M58" s="351"/>
      <c r="N58" s="258"/>
      <c r="O58" s="258"/>
    </row>
    <row r="59" spans="1:15" ht="14.15" customHeight="1" x14ac:dyDescent="0.3">
      <c r="A59" s="341"/>
      <c r="B59" s="385" t="s">
        <v>426</v>
      </c>
      <c r="C59" s="87" t="s">
        <v>427</v>
      </c>
      <c r="D59" s="1">
        <v>1</v>
      </c>
      <c r="E59" s="36">
        <v>50000</v>
      </c>
      <c r="F59" s="41">
        <v>0.2</v>
      </c>
      <c r="G59" s="348">
        <f>E59/(1-F59)</f>
        <v>62500</v>
      </c>
      <c r="H59" s="348">
        <v>250</v>
      </c>
      <c r="I59" s="83">
        <v>0.15</v>
      </c>
      <c r="J59" s="79">
        <f>H59*(1+I59)</f>
        <v>287.5</v>
      </c>
      <c r="K59" s="349">
        <f>J59*D59</f>
        <v>287.5</v>
      </c>
      <c r="L59" s="350">
        <f>G59+J59</f>
        <v>62787.5</v>
      </c>
      <c r="M59" s="351">
        <f>D59*L59</f>
        <v>62787.5</v>
      </c>
      <c r="N59" s="258"/>
      <c r="O59" s="258"/>
    </row>
    <row r="60" spans="1:15" ht="14.15" customHeight="1" x14ac:dyDescent="0.3">
      <c r="A60" s="341"/>
      <c r="B60" s="387"/>
      <c r="C60" s="87"/>
      <c r="D60" s="1"/>
      <c r="E60" s="36"/>
      <c r="F60" s="41"/>
      <c r="G60" s="348"/>
      <c r="H60" s="348"/>
      <c r="I60" s="79"/>
      <c r="J60" s="79"/>
      <c r="K60" s="349"/>
      <c r="L60" s="350"/>
      <c r="M60" s="351"/>
      <c r="N60" s="258"/>
      <c r="O60" s="258"/>
    </row>
    <row r="61" spans="1:15" ht="28" customHeight="1" x14ac:dyDescent="0.3">
      <c r="A61" s="341" t="s">
        <v>135</v>
      </c>
      <c r="B61" s="385" t="s">
        <v>136</v>
      </c>
      <c r="C61" s="248" t="s">
        <v>85</v>
      </c>
      <c r="D61" s="1">
        <v>3</v>
      </c>
      <c r="E61" s="36">
        <v>350</v>
      </c>
      <c r="F61" s="41">
        <v>0.2</v>
      </c>
      <c r="G61" s="348">
        <f>E61/(1-F61)</f>
        <v>437.5</v>
      </c>
      <c r="H61" s="348">
        <v>250</v>
      </c>
      <c r="I61" s="83">
        <v>0.15</v>
      </c>
      <c r="J61" s="79">
        <f>H61*(1+I61)</f>
        <v>287.5</v>
      </c>
      <c r="K61" s="349">
        <f>J61*D61</f>
        <v>862.5</v>
      </c>
      <c r="L61" s="350">
        <f>G61+J61</f>
        <v>725</v>
      </c>
      <c r="M61" s="351">
        <f>D61*L61</f>
        <v>2175</v>
      </c>
      <c r="N61" s="258"/>
      <c r="O61" s="258"/>
    </row>
    <row r="62" spans="1:15" ht="14.15" customHeight="1" x14ac:dyDescent="0.3">
      <c r="A62" s="341"/>
      <c r="B62" s="387"/>
      <c r="C62" s="88"/>
      <c r="D62" s="1"/>
      <c r="E62" s="36"/>
      <c r="F62" s="41"/>
      <c r="G62" s="348"/>
      <c r="H62" s="348"/>
      <c r="I62" s="79"/>
      <c r="J62" s="79"/>
      <c r="K62" s="349"/>
      <c r="L62" s="350"/>
      <c r="M62" s="351"/>
      <c r="N62" s="258"/>
      <c r="O62" s="258"/>
    </row>
    <row r="63" spans="1:15" ht="14.15" customHeight="1" x14ac:dyDescent="0.3">
      <c r="A63" s="341" t="s">
        <v>137</v>
      </c>
      <c r="B63" s="385" t="s">
        <v>138</v>
      </c>
      <c r="C63" s="248" t="s">
        <v>108</v>
      </c>
      <c r="D63" s="1">
        <v>20</v>
      </c>
      <c r="E63" s="36">
        <f>35</f>
        <v>35</v>
      </c>
      <c r="F63" s="41">
        <v>0.2</v>
      </c>
      <c r="G63" s="348">
        <f>E63/(1-F63)</f>
        <v>43.75</v>
      </c>
      <c r="H63" s="348">
        <f>(65*3)</f>
        <v>195</v>
      </c>
      <c r="I63" s="83">
        <v>0.15</v>
      </c>
      <c r="J63" s="79">
        <f>H63*(1+I63)</f>
        <v>224.24999999999997</v>
      </c>
      <c r="K63" s="349">
        <f>J63*D63</f>
        <v>4484.9999999999991</v>
      </c>
      <c r="L63" s="350">
        <f>G63+J63</f>
        <v>268</v>
      </c>
      <c r="M63" s="351">
        <f>D63*L63</f>
        <v>5360</v>
      </c>
      <c r="N63" s="258"/>
      <c r="O63" s="258"/>
    </row>
    <row r="64" spans="1:15" ht="14.15" customHeight="1" x14ac:dyDescent="0.3">
      <c r="A64" s="341"/>
      <c r="B64" s="387"/>
      <c r="C64" s="87"/>
      <c r="D64" s="1"/>
      <c r="E64" s="36"/>
      <c r="F64" s="41"/>
      <c r="G64" s="348"/>
      <c r="H64" s="348"/>
      <c r="I64" s="79"/>
      <c r="J64" s="79"/>
      <c r="K64" s="349"/>
      <c r="L64" s="350"/>
      <c r="M64" s="351"/>
      <c r="N64" s="258"/>
      <c r="O64" s="258"/>
    </row>
    <row r="65" spans="1:15" ht="14.5" customHeight="1" thickBot="1" x14ac:dyDescent="0.35">
      <c r="A65" s="341" t="s">
        <v>139</v>
      </c>
      <c r="B65" s="385" t="s">
        <v>140</v>
      </c>
      <c r="C65" s="248" t="s">
        <v>42</v>
      </c>
      <c r="D65" s="1">
        <v>1</v>
      </c>
      <c r="E65" s="36">
        <v>1</v>
      </c>
      <c r="F65" s="41">
        <v>0.2</v>
      </c>
      <c r="G65" s="348">
        <f>E65/(1-F65)</f>
        <v>1.25</v>
      </c>
      <c r="H65" s="348">
        <f>2500*3</f>
        <v>7500</v>
      </c>
      <c r="I65" s="83">
        <v>0.15</v>
      </c>
      <c r="J65" s="79">
        <f>H65*(1+I65)</f>
        <v>8625</v>
      </c>
      <c r="K65" s="349">
        <f>J65*D65</f>
        <v>8625</v>
      </c>
      <c r="L65" s="350">
        <f>G65+J65</f>
        <v>8626.25</v>
      </c>
      <c r="M65" s="351">
        <f>D65*L65</f>
        <v>8626.25</v>
      </c>
      <c r="N65" s="258"/>
      <c r="O65" s="258"/>
    </row>
    <row r="66" spans="1:15" ht="14.5" customHeight="1" thickBot="1" x14ac:dyDescent="0.35">
      <c r="A66" s="354"/>
      <c r="B66" s="441"/>
      <c r="C66" s="89"/>
      <c r="D66" s="72"/>
      <c r="E66" s="73"/>
      <c r="F66" s="74"/>
      <c r="G66" s="356"/>
      <c r="H66" s="356"/>
      <c r="I66" s="73"/>
      <c r="J66" s="73"/>
      <c r="K66" s="357"/>
      <c r="L66" s="358"/>
      <c r="M66" s="358"/>
      <c r="N66" s="258"/>
      <c r="O66" s="258"/>
    </row>
    <row r="67" spans="1:15" ht="14.15" customHeight="1" x14ac:dyDescent="0.3">
      <c r="A67" s="389">
        <v>2.1</v>
      </c>
      <c r="B67" s="390"/>
      <c r="C67" s="90"/>
      <c r="D67" s="65" t="s">
        <v>141</v>
      </c>
      <c r="E67" s="53"/>
      <c r="F67" s="54"/>
      <c r="G67" s="391"/>
      <c r="H67" s="391"/>
      <c r="I67" s="53"/>
      <c r="J67" s="53"/>
      <c r="K67" s="392"/>
      <c r="L67" s="393"/>
      <c r="M67" s="393"/>
      <c r="N67" s="258"/>
      <c r="O67" s="258"/>
    </row>
    <row r="68" spans="1:15" ht="28" customHeight="1" x14ac:dyDescent="0.3">
      <c r="A68" s="370" t="s">
        <v>142</v>
      </c>
      <c r="B68" s="444" t="s">
        <v>143</v>
      </c>
      <c r="C68" s="7" t="s">
        <v>85</v>
      </c>
      <c r="D68" s="7">
        <v>3</v>
      </c>
      <c r="E68" s="37">
        <v>10000</v>
      </c>
      <c r="F68" s="41">
        <v>0.16</v>
      </c>
      <c r="G68" s="348">
        <f>E68/(1-F68)</f>
        <v>11904.761904761905</v>
      </c>
      <c r="H68" s="371">
        <v>200</v>
      </c>
      <c r="I68" s="83">
        <v>0.15</v>
      </c>
      <c r="J68" s="79">
        <f>H68*(1+I68)</f>
        <v>229.99999999999997</v>
      </c>
      <c r="K68" s="349">
        <f>J68*D68</f>
        <v>689.99999999999989</v>
      </c>
      <c r="L68" s="350">
        <f>G68+J68</f>
        <v>12134.761904761905</v>
      </c>
      <c r="M68" s="351">
        <f>D68*L68</f>
        <v>36404.28571428571</v>
      </c>
      <c r="N68" s="258"/>
      <c r="O68" s="258"/>
    </row>
    <row r="69" spans="1:15" ht="14.15" customHeight="1" x14ac:dyDescent="0.3">
      <c r="A69" s="394"/>
      <c r="B69" s="395"/>
      <c r="C69" s="248"/>
      <c r="D69" s="248"/>
      <c r="E69" s="36"/>
      <c r="F69" s="41"/>
      <c r="G69" s="348"/>
      <c r="H69" s="348"/>
      <c r="I69" s="79"/>
      <c r="J69" s="79"/>
      <c r="K69" s="349"/>
      <c r="L69" s="350"/>
      <c r="M69" s="351"/>
      <c r="N69" s="258"/>
      <c r="O69" s="258"/>
    </row>
    <row r="70" spans="1:15" ht="28.5" customHeight="1" thickBot="1" x14ac:dyDescent="0.35">
      <c r="A70" s="396" t="s">
        <v>144</v>
      </c>
      <c r="B70" s="446" t="s">
        <v>145</v>
      </c>
      <c r="C70" s="68" t="s">
        <v>85</v>
      </c>
      <c r="D70" s="68">
        <v>3</v>
      </c>
      <c r="E70" s="69">
        <v>7500</v>
      </c>
      <c r="F70" s="52">
        <v>0.16</v>
      </c>
      <c r="G70" s="376">
        <f>E70/(1-F70)</f>
        <v>8928.5714285714294</v>
      </c>
      <c r="H70" s="377">
        <v>200</v>
      </c>
      <c r="I70" s="83">
        <v>0.15</v>
      </c>
      <c r="J70" s="79">
        <f>H70*(1+I70)</f>
        <v>229.99999999999997</v>
      </c>
      <c r="K70" s="382">
        <f>J70*D70</f>
        <v>689.99999999999989</v>
      </c>
      <c r="L70" s="350">
        <f>G70+J70</f>
        <v>9158.5714285714294</v>
      </c>
      <c r="M70" s="378">
        <f>D70*L70</f>
        <v>27475.71428571429</v>
      </c>
      <c r="N70" s="258"/>
      <c r="O70" s="258"/>
    </row>
    <row r="71" spans="1:15" ht="14.5" customHeight="1" thickBot="1" x14ac:dyDescent="0.35">
      <c r="A71" s="397"/>
      <c r="B71" s="449"/>
      <c r="C71" s="89"/>
      <c r="D71" s="72"/>
      <c r="E71" s="73"/>
      <c r="F71" s="74"/>
      <c r="G71" s="356"/>
      <c r="H71" s="356"/>
      <c r="I71" s="73"/>
      <c r="J71" s="73"/>
      <c r="K71" s="357"/>
      <c r="L71" s="358"/>
      <c r="M71" s="358"/>
      <c r="N71" s="258"/>
      <c r="O71" s="258"/>
    </row>
    <row r="72" spans="1:15" ht="14.15" customHeight="1" x14ac:dyDescent="0.3">
      <c r="A72" s="359">
        <v>2.11</v>
      </c>
      <c r="B72" s="450"/>
      <c r="C72" s="91"/>
      <c r="D72" s="58" t="s">
        <v>146</v>
      </c>
      <c r="E72" s="56"/>
      <c r="F72" s="57"/>
      <c r="G72" s="361"/>
      <c r="H72" s="361"/>
      <c r="I72" s="56"/>
      <c r="J72" s="56"/>
      <c r="K72" s="362"/>
      <c r="L72" s="363"/>
      <c r="M72" s="363"/>
      <c r="N72" s="258"/>
      <c r="O72" s="258"/>
    </row>
    <row r="73" spans="1:15" ht="14.15" customHeight="1" x14ac:dyDescent="0.3">
      <c r="A73" s="341"/>
      <c r="B73" s="444"/>
      <c r="C73" s="92"/>
      <c r="D73" s="1"/>
      <c r="E73" s="36"/>
      <c r="F73" s="41"/>
      <c r="G73" s="348"/>
      <c r="H73" s="348"/>
      <c r="I73" s="79"/>
      <c r="J73" s="79"/>
      <c r="K73" s="349"/>
      <c r="L73" s="350"/>
      <c r="M73" s="351"/>
      <c r="N73" s="258"/>
      <c r="O73" s="258"/>
    </row>
    <row r="74" spans="1:15" ht="14.15" customHeight="1" x14ac:dyDescent="0.3">
      <c r="A74" s="341"/>
      <c r="B74" s="443" t="s">
        <v>147</v>
      </c>
      <c r="C74" s="88"/>
      <c r="D74" s="1"/>
      <c r="E74" s="36"/>
      <c r="F74" s="41"/>
      <c r="G74" s="348"/>
      <c r="H74" s="348"/>
      <c r="I74" s="79"/>
      <c r="J74" s="79"/>
      <c r="K74" s="349"/>
      <c r="L74" s="350"/>
      <c r="M74" s="351"/>
      <c r="N74" s="258"/>
      <c r="O74" s="258"/>
    </row>
    <row r="75" spans="1:15" ht="14.15" customHeight="1" x14ac:dyDescent="0.3">
      <c r="A75" s="341"/>
      <c r="B75" s="448"/>
      <c r="C75" s="88"/>
      <c r="D75" s="1"/>
      <c r="E75" s="36"/>
      <c r="F75" s="41"/>
      <c r="G75" s="348"/>
      <c r="H75" s="348"/>
      <c r="I75" s="79"/>
      <c r="J75" s="79"/>
      <c r="K75" s="349"/>
      <c r="L75" s="350"/>
      <c r="M75" s="351"/>
      <c r="N75" s="258"/>
      <c r="O75" s="258"/>
    </row>
    <row r="76" spans="1:15" ht="42" customHeight="1" x14ac:dyDescent="0.3">
      <c r="A76" s="341"/>
      <c r="B76" s="448" t="s">
        <v>148</v>
      </c>
      <c r="C76" s="88"/>
      <c r="D76" s="248"/>
      <c r="E76" s="36"/>
      <c r="F76" s="41"/>
      <c r="G76" s="348"/>
      <c r="H76" s="348"/>
      <c r="I76" s="79"/>
      <c r="J76" s="79"/>
      <c r="K76" s="349"/>
      <c r="L76" s="350"/>
      <c r="M76" s="351"/>
      <c r="N76" s="258"/>
      <c r="O76" s="258"/>
    </row>
    <row r="77" spans="1:15" ht="14.15" customHeight="1" x14ac:dyDescent="0.3">
      <c r="A77" s="384"/>
      <c r="B77" s="443"/>
      <c r="C77" s="88"/>
      <c r="D77" s="1"/>
      <c r="E77" s="36"/>
      <c r="F77" s="41"/>
      <c r="G77" s="348"/>
      <c r="H77" s="400"/>
      <c r="I77" s="81"/>
      <c r="J77" s="81"/>
      <c r="K77" s="349"/>
      <c r="L77" s="350"/>
      <c r="M77" s="351"/>
      <c r="N77" s="258"/>
      <c r="O77" s="258"/>
    </row>
    <row r="78" spans="1:15" ht="14.15" customHeight="1" x14ac:dyDescent="0.3">
      <c r="A78" s="384"/>
      <c r="B78" s="443" t="s">
        <v>282</v>
      </c>
      <c r="C78" s="88" t="s">
        <v>108</v>
      </c>
      <c r="D78" s="1">
        <v>30</v>
      </c>
      <c r="E78" s="36">
        <v>1520</v>
      </c>
      <c r="F78" s="41">
        <v>0.25</v>
      </c>
      <c r="G78" s="348">
        <f t="shared" ref="G78:G84" si="0">E78/(1-F78)</f>
        <v>2026.6666666666667</v>
      </c>
      <c r="H78" s="348">
        <v>25</v>
      </c>
      <c r="I78" s="83">
        <v>0.15</v>
      </c>
      <c r="J78" s="79">
        <f t="shared" ref="J78:J84" si="1">H78*(1+I78)</f>
        <v>28.749999999999996</v>
      </c>
      <c r="K78" s="349">
        <f t="shared" ref="K78:K84" si="2">J78*D78</f>
        <v>862.49999999999989</v>
      </c>
      <c r="L78" s="350">
        <f t="shared" ref="L78:L84" si="3">G78+J78</f>
        <v>2055.4166666666665</v>
      </c>
      <c r="M78" s="351">
        <f t="shared" ref="M78:M84" si="4">D78*L78</f>
        <v>61662.499999999993</v>
      </c>
      <c r="N78" s="258"/>
      <c r="O78" s="258"/>
    </row>
    <row r="79" spans="1:15" ht="14.15" customHeight="1" x14ac:dyDescent="0.3">
      <c r="A79" s="341" t="s">
        <v>149</v>
      </c>
      <c r="B79" s="443" t="s">
        <v>150</v>
      </c>
      <c r="C79" s="88" t="s">
        <v>108</v>
      </c>
      <c r="D79" s="1">
        <v>0</v>
      </c>
      <c r="E79" s="36">
        <v>947.75</v>
      </c>
      <c r="F79" s="41">
        <v>0.25</v>
      </c>
      <c r="G79" s="348">
        <f t="shared" si="0"/>
        <v>1263.6666666666667</v>
      </c>
      <c r="H79" s="348">
        <v>25</v>
      </c>
      <c r="I79" s="83">
        <v>0.15</v>
      </c>
      <c r="J79" s="79">
        <f t="shared" si="1"/>
        <v>28.749999999999996</v>
      </c>
      <c r="K79" s="349">
        <f t="shared" si="2"/>
        <v>0</v>
      </c>
      <c r="L79" s="350">
        <f t="shared" si="3"/>
        <v>1292.4166666666667</v>
      </c>
      <c r="M79" s="351">
        <f t="shared" si="4"/>
        <v>0</v>
      </c>
      <c r="N79" s="258"/>
      <c r="O79" s="258"/>
    </row>
    <row r="80" spans="1:15" ht="14.15" customHeight="1" x14ac:dyDescent="0.3">
      <c r="A80" s="341" t="s">
        <v>151</v>
      </c>
      <c r="B80" s="443" t="s">
        <v>152</v>
      </c>
      <c r="C80" s="88" t="s">
        <v>108</v>
      </c>
      <c r="D80" s="1">
        <v>0</v>
      </c>
      <c r="E80" s="36">
        <v>686.12</v>
      </c>
      <c r="F80" s="41">
        <v>0.25</v>
      </c>
      <c r="G80" s="348">
        <f t="shared" si="0"/>
        <v>914.82666666666671</v>
      </c>
      <c r="H80" s="348">
        <v>25</v>
      </c>
      <c r="I80" s="83">
        <v>0.15</v>
      </c>
      <c r="J80" s="79">
        <f t="shared" si="1"/>
        <v>28.749999999999996</v>
      </c>
      <c r="K80" s="349">
        <f t="shared" si="2"/>
        <v>0</v>
      </c>
      <c r="L80" s="350">
        <f t="shared" si="3"/>
        <v>943.57666666666671</v>
      </c>
      <c r="M80" s="351">
        <f t="shared" si="4"/>
        <v>0</v>
      </c>
      <c r="N80" s="258"/>
      <c r="O80" s="258"/>
    </row>
    <row r="81" spans="1:15" ht="14.15" customHeight="1" x14ac:dyDescent="0.3">
      <c r="A81" s="341" t="s">
        <v>153</v>
      </c>
      <c r="B81" s="443" t="s">
        <v>154</v>
      </c>
      <c r="C81" s="88" t="s">
        <v>108</v>
      </c>
      <c r="D81" s="1">
        <v>30</v>
      </c>
      <c r="E81" s="36">
        <v>538.9</v>
      </c>
      <c r="F81" s="41">
        <v>0.25</v>
      </c>
      <c r="G81" s="348">
        <f t="shared" si="0"/>
        <v>718.5333333333333</v>
      </c>
      <c r="H81" s="348">
        <v>25</v>
      </c>
      <c r="I81" s="83">
        <v>0.15</v>
      </c>
      <c r="J81" s="79">
        <f t="shared" si="1"/>
        <v>28.749999999999996</v>
      </c>
      <c r="K81" s="349">
        <f t="shared" si="2"/>
        <v>862.49999999999989</v>
      </c>
      <c r="L81" s="350">
        <f t="shared" si="3"/>
        <v>747.2833333333333</v>
      </c>
      <c r="M81" s="351">
        <f t="shared" si="4"/>
        <v>22418.5</v>
      </c>
      <c r="N81" s="258"/>
      <c r="O81" s="258"/>
    </row>
    <row r="82" spans="1:15" ht="14.15" customHeight="1" x14ac:dyDescent="0.3">
      <c r="A82" s="341" t="s">
        <v>155</v>
      </c>
      <c r="B82" s="443" t="s">
        <v>156</v>
      </c>
      <c r="C82" s="87" t="s">
        <v>108</v>
      </c>
      <c r="D82" s="1">
        <v>0</v>
      </c>
      <c r="E82" s="36">
        <v>450</v>
      </c>
      <c r="F82" s="41">
        <v>0.25</v>
      </c>
      <c r="G82" s="348">
        <f t="shared" si="0"/>
        <v>600</v>
      </c>
      <c r="H82" s="348">
        <v>25</v>
      </c>
      <c r="I82" s="83">
        <v>0.15</v>
      </c>
      <c r="J82" s="79">
        <f t="shared" si="1"/>
        <v>28.749999999999996</v>
      </c>
      <c r="K82" s="349">
        <f t="shared" si="2"/>
        <v>0</v>
      </c>
      <c r="L82" s="350">
        <f t="shared" si="3"/>
        <v>628.75</v>
      </c>
      <c r="M82" s="351">
        <f t="shared" si="4"/>
        <v>0</v>
      </c>
      <c r="N82" s="258"/>
      <c r="O82" s="258"/>
    </row>
    <row r="83" spans="1:15" ht="14.15" customHeight="1" x14ac:dyDescent="0.3">
      <c r="A83" s="341" t="s">
        <v>157</v>
      </c>
      <c r="B83" s="443" t="s">
        <v>158</v>
      </c>
      <c r="C83" s="87" t="s">
        <v>108</v>
      </c>
      <c r="D83" s="1">
        <f>200 + N("sub Dbs are far apart and there are 7 that we know of")</f>
        <v>200</v>
      </c>
      <c r="E83" s="36">
        <v>380</v>
      </c>
      <c r="F83" s="41">
        <v>0.25</v>
      </c>
      <c r="G83" s="348">
        <f t="shared" si="0"/>
        <v>506.66666666666669</v>
      </c>
      <c r="H83" s="348">
        <v>25</v>
      </c>
      <c r="I83" s="83">
        <v>0.15</v>
      </c>
      <c r="J83" s="79">
        <f t="shared" si="1"/>
        <v>28.749999999999996</v>
      </c>
      <c r="K83" s="349">
        <f t="shared" si="2"/>
        <v>5749.9999999999991</v>
      </c>
      <c r="L83" s="350">
        <f t="shared" si="3"/>
        <v>535.41666666666663</v>
      </c>
      <c r="M83" s="351">
        <f t="shared" si="4"/>
        <v>107083.33333333333</v>
      </c>
      <c r="N83" s="258"/>
      <c r="O83" s="258"/>
    </row>
    <row r="84" spans="1:15" ht="14.5" customHeight="1" thickBot="1" x14ac:dyDescent="0.35">
      <c r="A84" s="381" t="s">
        <v>159</v>
      </c>
      <c r="B84" s="446" t="s">
        <v>160</v>
      </c>
      <c r="C84" s="86" t="s">
        <v>108</v>
      </c>
      <c r="D84" s="50">
        <v>0</v>
      </c>
      <c r="E84" s="51">
        <f>215</f>
        <v>215</v>
      </c>
      <c r="F84" s="52">
        <v>0.25</v>
      </c>
      <c r="G84" s="376">
        <f t="shared" si="0"/>
        <v>286.66666666666669</v>
      </c>
      <c r="H84" s="376">
        <v>25</v>
      </c>
      <c r="I84" s="83">
        <v>0.15</v>
      </c>
      <c r="J84" s="79">
        <f t="shared" si="1"/>
        <v>28.749999999999996</v>
      </c>
      <c r="K84" s="349">
        <f t="shared" si="2"/>
        <v>0</v>
      </c>
      <c r="L84" s="350">
        <f t="shared" si="3"/>
        <v>315.41666666666669</v>
      </c>
      <c r="M84" s="378">
        <f t="shared" si="4"/>
        <v>0</v>
      </c>
      <c r="N84" s="258"/>
      <c r="O84" s="258"/>
    </row>
    <row r="85" spans="1:15" ht="14.5" customHeight="1" thickBot="1" x14ac:dyDescent="0.35">
      <c r="A85" s="397"/>
      <c r="B85" s="449"/>
      <c r="C85" s="89"/>
      <c r="D85" s="72"/>
      <c r="E85" s="73"/>
      <c r="F85" s="74"/>
      <c r="G85" s="356"/>
      <c r="H85" s="356"/>
      <c r="I85" s="73"/>
      <c r="J85" s="73"/>
      <c r="K85" s="357"/>
      <c r="L85" s="358"/>
      <c r="M85" s="358"/>
      <c r="N85" s="258"/>
      <c r="O85" s="258"/>
    </row>
    <row r="86" spans="1:15" ht="14.15" customHeight="1" x14ac:dyDescent="0.3">
      <c r="A86" s="359">
        <v>2.12</v>
      </c>
      <c r="B86" s="450"/>
      <c r="C86" s="91"/>
      <c r="D86" s="58" t="s">
        <v>161</v>
      </c>
      <c r="E86" s="56"/>
      <c r="F86" s="57"/>
      <c r="G86" s="361"/>
      <c r="H86" s="361"/>
      <c r="I86" s="56"/>
      <c r="J86" s="56"/>
      <c r="K86" s="362"/>
      <c r="L86" s="363"/>
      <c r="M86" s="363"/>
      <c r="N86" s="258"/>
      <c r="O86" s="258"/>
    </row>
    <row r="87" spans="1:15" ht="14.15" customHeight="1" x14ac:dyDescent="0.3">
      <c r="A87" s="341"/>
      <c r="B87" s="444"/>
      <c r="C87" s="87"/>
      <c r="D87" s="1"/>
      <c r="E87" s="36"/>
      <c r="F87" s="41"/>
      <c r="G87" s="348"/>
      <c r="H87" s="348"/>
      <c r="I87" s="79"/>
      <c r="J87" s="79"/>
      <c r="K87" s="349"/>
      <c r="L87" s="350"/>
      <c r="M87" s="351"/>
      <c r="N87" s="258"/>
      <c r="O87" s="258"/>
    </row>
    <row r="88" spans="1:15" ht="14.15" customHeight="1" x14ac:dyDescent="0.3">
      <c r="A88" s="341" t="s">
        <v>162</v>
      </c>
      <c r="B88" s="443" t="s">
        <v>163</v>
      </c>
      <c r="C88" s="87" t="s">
        <v>108</v>
      </c>
      <c r="D88" s="1">
        <v>50</v>
      </c>
      <c r="E88" s="36">
        <v>109.45</v>
      </c>
      <c r="F88" s="41">
        <v>0.2</v>
      </c>
      <c r="G88" s="348">
        <f>E88/(1-F88)</f>
        <v>136.8125</v>
      </c>
      <c r="H88" s="348">
        <v>50</v>
      </c>
      <c r="I88" s="83">
        <v>0.15</v>
      </c>
      <c r="J88" s="79">
        <f>H88*(1+I88)</f>
        <v>57.499999999999993</v>
      </c>
      <c r="K88" s="349">
        <f>J88*D88</f>
        <v>2874.9999999999995</v>
      </c>
      <c r="L88" s="350">
        <f>G88+J88</f>
        <v>194.3125</v>
      </c>
      <c r="M88" s="351">
        <f>D88*L88</f>
        <v>9715.625</v>
      </c>
      <c r="N88" s="258"/>
      <c r="O88" s="258"/>
    </row>
    <row r="89" spans="1:15" ht="14.15" customHeight="1" x14ac:dyDescent="0.3">
      <c r="A89" s="341"/>
      <c r="B89" s="443" t="s">
        <v>164</v>
      </c>
      <c r="C89" s="87" t="s">
        <v>108</v>
      </c>
      <c r="D89" s="1">
        <v>50</v>
      </c>
      <c r="E89" s="36">
        <v>70.599999999999994</v>
      </c>
      <c r="F89" s="41">
        <v>0.2</v>
      </c>
      <c r="G89" s="348">
        <f>E89/(1-F89)</f>
        <v>88.249999999999986</v>
      </c>
      <c r="H89" s="348">
        <v>50</v>
      </c>
      <c r="I89" s="83">
        <v>0.15</v>
      </c>
      <c r="J89" s="79">
        <f>H89*(1+I89)</f>
        <v>57.499999999999993</v>
      </c>
      <c r="K89" s="349">
        <f>J89*D89</f>
        <v>2874.9999999999995</v>
      </c>
      <c r="L89" s="350">
        <f>G89+J89</f>
        <v>145.74999999999997</v>
      </c>
      <c r="M89" s="351">
        <f>D89*L89</f>
        <v>7287.4999999999982</v>
      </c>
      <c r="N89" s="258"/>
      <c r="O89" s="258"/>
    </row>
    <row r="90" spans="1:15" ht="14.5" customHeight="1" thickBot="1" x14ac:dyDescent="0.35">
      <c r="A90" s="381"/>
      <c r="B90" s="446" t="s">
        <v>165</v>
      </c>
      <c r="C90" s="86" t="s">
        <v>108</v>
      </c>
      <c r="D90" s="50">
        <f>42 +N("7 DB's, 3 cables each, 2m per db")</f>
        <v>42</v>
      </c>
      <c r="E90" s="51">
        <v>22.91</v>
      </c>
      <c r="F90" s="52">
        <v>0.2</v>
      </c>
      <c r="G90" s="376">
        <f>E90/(1-F90)</f>
        <v>28.637499999999999</v>
      </c>
      <c r="H90" s="376">
        <v>50</v>
      </c>
      <c r="I90" s="83">
        <v>0.15</v>
      </c>
      <c r="J90" s="79">
        <f>H90*(1+I90)</f>
        <v>57.499999999999993</v>
      </c>
      <c r="K90" s="349">
        <f>J90*D90</f>
        <v>2414.9999999999995</v>
      </c>
      <c r="L90" s="350">
        <f>G90+J90</f>
        <v>86.137499999999989</v>
      </c>
      <c r="M90" s="378">
        <f>D90*L90</f>
        <v>3617.7749999999996</v>
      </c>
      <c r="N90" s="258"/>
      <c r="O90" s="258"/>
    </row>
    <row r="91" spans="1:15" ht="14.5" customHeight="1" thickBot="1" x14ac:dyDescent="0.35">
      <c r="A91" s="397"/>
      <c r="B91" s="449"/>
      <c r="C91" s="89"/>
      <c r="D91" s="72"/>
      <c r="E91" s="73"/>
      <c r="F91" s="74"/>
      <c r="G91" s="356"/>
      <c r="H91" s="356"/>
      <c r="I91" s="73"/>
      <c r="J91" s="73"/>
      <c r="K91" s="357"/>
      <c r="L91" s="358"/>
      <c r="M91" s="358"/>
      <c r="N91" s="258"/>
      <c r="O91" s="258"/>
    </row>
    <row r="92" spans="1:15" ht="14.15" customHeight="1" x14ac:dyDescent="0.3">
      <c r="A92" s="359">
        <v>2.13</v>
      </c>
      <c r="B92" s="450"/>
      <c r="C92" s="91"/>
      <c r="D92" s="58" t="s">
        <v>166</v>
      </c>
      <c r="E92" s="56"/>
      <c r="F92" s="57"/>
      <c r="G92" s="361"/>
      <c r="H92" s="361"/>
      <c r="I92" s="56"/>
      <c r="J92" s="56"/>
      <c r="K92" s="362"/>
      <c r="L92" s="363"/>
      <c r="M92" s="363"/>
      <c r="N92" s="258"/>
      <c r="O92" s="258"/>
    </row>
    <row r="93" spans="1:15" ht="14.15" customHeight="1" x14ac:dyDescent="0.3">
      <c r="A93" s="341"/>
      <c r="B93" s="444"/>
      <c r="C93" s="87"/>
      <c r="D93" s="1"/>
      <c r="E93" s="36"/>
      <c r="F93" s="41"/>
      <c r="G93" s="348"/>
      <c r="H93" s="348"/>
      <c r="I93" s="79"/>
      <c r="J93" s="79"/>
      <c r="K93" s="349"/>
      <c r="L93" s="350"/>
      <c r="M93" s="351"/>
      <c r="N93" s="258"/>
      <c r="O93" s="258"/>
    </row>
    <row r="94" spans="1:15" ht="14.15" customHeight="1" x14ac:dyDescent="0.3">
      <c r="A94" s="341" t="s">
        <v>167</v>
      </c>
      <c r="B94" s="443" t="s">
        <v>168</v>
      </c>
      <c r="C94" s="87" t="s">
        <v>108</v>
      </c>
      <c r="D94" s="1">
        <v>20</v>
      </c>
      <c r="E94" s="36">
        <v>25</v>
      </c>
      <c r="F94" s="41">
        <v>0.2</v>
      </c>
      <c r="G94" s="348">
        <f>E94/(1-F94)</f>
        <v>31.25</v>
      </c>
      <c r="H94" s="348"/>
      <c r="I94" s="83">
        <v>0.15</v>
      </c>
      <c r="J94" s="79">
        <f>H94*(1+I94)</f>
        <v>0</v>
      </c>
      <c r="K94" s="349">
        <f>J94*D94</f>
        <v>0</v>
      </c>
      <c r="L94" s="350">
        <f>G94+J94</f>
        <v>31.25</v>
      </c>
      <c r="M94" s="351">
        <f>D94*L94</f>
        <v>625</v>
      </c>
      <c r="N94" s="258"/>
      <c r="O94" s="258"/>
    </row>
    <row r="95" spans="1:15" ht="14.15" customHeight="1" x14ac:dyDescent="0.3">
      <c r="A95" s="341" t="s">
        <v>169</v>
      </c>
      <c r="B95" s="443" t="s">
        <v>170</v>
      </c>
      <c r="C95" s="87" t="s">
        <v>108</v>
      </c>
      <c r="D95" s="1">
        <v>20</v>
      </c>
      <c r="E95" s="36">
        <v>33</v>
      </c>
      <c r="F95" s="41">
        <v>0.2</v>
      </c>
      <c r="G95" s="348">
        <f>E95/(1-F95)</f>
        <v>41.25</v>
      </c>
      <c r="H95" s="348"/>
      <c r="I95" s="83">
        <v>0.15</v>
      </c>
      <c r="J95" s="79">
        <f>H95*(1+I95)</f>
        <v>0</v>
      </c>
      <c r="K95" s="349">
        <f>J95*D95</f>
        <v>0</v>
      </c>
      <c r="L95" s="350">
        <f>G95+J95</f>
        <v>41.25</v>
      </c>
      <c r="M95" s="351">
        <f>D95*L95</f>
        <v>825</v>
      </c>
      <c r="N95" s="258"/>
      <c r="O95" s="258"/>
    </row>
    <row r="96" spans="1:15" ht="14.5" customHeight="1" thickBot="1" x14ac:dyDescent="0.35">
      <c r="A96" s="341" t="s">
        <v>171</v>
      </c>
      <c r="B96" s="451" t="s">
        <v>172</v>
      </c>
      <c r="C96" s="29" t="s">
        <v>108</v>
      </c>
      <c r="D96" s="1">
        <v>0</v>
      </c>
      <c r="E96" s="36">
        <v>37</v>
      </c>
      <c r="F96" s="41">
        <v>0.2</v>
      </c>
      <c r="G96" s="348">
        <f>E96/(1-F96)</f>
        <v>46.25</v>
      </c>
      <c r="H96" s="348"/>
      <c r="I96" s="83">
        <v>0.15</v>
      </c>
      <c r="J96" s="79">
        <f>H96*(1+I96)</f>
        <v>0</v>
      </c>
      <c r="K96" s="349">
        <f>J96*D96</f>
        <v>0</v>
      </c>
      <c r="L96" s="350">
        <f>G96+J96</f>
        <v>46.25</v>
      </c>
      <c r="M96" s="351">
        <f>D96*L96</f>
        <v>0</v>
      </c>
      <c r="N96" s="258"/>
      <c r="O96" s="258"/>
    </row>
    <row r="97" spans="1:15" ht="14.5" customHeight="1" thickBot="1" x14ac:dyDescent="0.35">
      <c r="A97" s="397"/>
      <c r="B97" s="449"/>
      <c r="C97" s="71"/>
      <c r="D97" s="72"/>
      <c r="E97" s="73"/>
      <c r="F97" s="74"/>
      <c r="G97" s="356"/>
      <c r="H97" s="356"/>
      <c r="I97" s="73"/>
      <c r="J97" s="73"/>
      <c r="K97" s="357"/>
      <c r="L97" s="358"/>
      <c r="M97" s="358"/>
      <c r="N97" s="258"/>
      <c r="O97" s="258"/>
    </row>
    <row r="98" spans="1:15" s="297" customFormat="1" ht="14.15" customHeight="1" x14ac:dyDescent="0.3">
      <c r="A98" s="402">
        <v>2.14</v>
      </c>
      <c r="B98" s="452"/>
      <c r="C98" s="78"/>
      <c r="D98" s="65" t="s">
        <v>173</v>
      </c>
      <c r="E98" s="53"/>
      <c r="F98" s="54"/>
      <c r="G98" s="391"/>
      <c r="H98" s="391"/>
      <c r="I98" s="53"/>
      <c r="J98" s="53"/>
      <c r="K98" s="392"/>
      <c r="L98" s="393"/>
      <c r="M98" s="393"/>
      <c r="N98" s="258"/>
      <c r="O98" s="258"/>
    </row>
    <row r="99" spans="1:15" s="297" customFormat="1" ht="14.15" customHeight="1" x14ac:dyDescent="0.3">
      <c r="A99" s="341"/>
      <c r="B99" s="444"/>
      <c r="C99" s="29"/>
      <c r="D99" s="1"/>
      <c r="E99" s="36"/>
      <c r="F99" s="41"/>
      <c r="G99" s="348"/>
      <c r="H99" s="348"/>
      <c r="I99" s="79"/>
      <c r="J99" s="79"/>
      <c r="K99" s="349"/>
      <c r="L99" s="350"/>
      <c r="M99" s="351"/>
      <c r="N99" s="258"/>
      <c r="O99" s="258"/>
    </row>
    <row r="100" spans="1:15" s="297" customFormat="1" ht="28" customHeight="1" x14ac:dyDescent="0.3">
      <c r="A100" s="341"/>
      <c r="B100" s="443" t="s">
        <v>174</v>
      </c>
      <c r="C100" s="29"/>
      <c r="D100" s="1"/>
      <c r="E100" s="36"/>
      <c r="F100" s="41"/>
      <c r="G100" s="348"/>
      <c r="H100" s="348"/>
      <c r="I100" s="79"/>
      <c r="J100" s="79"/>
      <c r="K100" s="349"/>
      <c r="L100" s="350"/>
      <c r="M100" s="351"/>
      <c r="N100" s="258"/>
      <c r="O100" s="258"/>
    </row>
    <row r="101" spans="1:15" s="297" customFormat="1" ht="14.15" customHeight="1" x14ac:dyDescent="0.3">
      <c r="A101" s="384"/>
      <c r="B101" s="443"/>
      <c r="C101" s="29"/>
      <c r="D101" s="1"/>
      <c r="E101" s="36"/>
      <c r="F101" s="41"/>
      <c r="G101" s="348"/>
      <c r="H101" s="348"/>
      <c r="I101" s="79"/>
      <c r="J101" s="79"/>
      <c r="K101" s="349"/>
      <c r="L101" s="350"/>
      <c r="M101" s="351"/>
      <c r="N101" s="258"/>
      <c r="O101" s="258"/>
    </row>
    <row r="102" spans="1:15" s="297" customFormat="1" ht="14.15" customHeight="1" x14ac:dyDescent="0.3">
      <c r="A102" s="384"/>
      <c r="B102" s="443" t="s">
        <v>282</v>
      </c>
      <c r="C102" s="29" t="s">
        <v>85</v>
      </c>
      <c r="D102" s="1">
        <v>13</v>
      </c>
      <c r="E102" s="36">
        <f>1100*1.1</f>
        <v>1210</v>
      </c>
      <c r="F102" s="41">
        <v>0.2</v>
      </c>
      <c r="G102" s="348">
        <f t="shared" ref="G102:G114" si="5">E102/(1-F102)</f>
        <v>1512.5</v>
      </c>
      <c r="H102" s="348">
        <f>(250+100)*1.5</f>
        <v>525</v>
      </c>
      <c r="I102" s="83">
        <v>0.15</v>
      </c>
      <c r="J102" s="79">
        <f t="shared" ref="J102:J114" si="6">H102*(1+I102)</f>
        <v>603.75</v>
      </c>
      <c r="K102" s="349">
        <f t="shared" ref="K102:K114" si="7">J102*D102</f>
        <v>7848.75</v>
      </c>
      <c r="L102" s="350">
        <f t="shared" ref="L102:L114" si="8">G102+J102</f>
        <v>2116.25</v>
      </c>
      <c r="M102" s="351">
        <f t="shared" ref="M102:M114" si="9">D102*L102</f>
        <v>27511.25</v>
      </c>
      <c r="N102" s="258"/>
      <c r="O102" s="258"/>
    </row>
    <row r="103" spans="1:15" s="297" customFormat="1" ht="14.15" customHeight="1" x14ac:dyDescent="0.3">
      <c r="A103" s="341" t="s">
        <v>175</v>
      </c>
      <c r="B103" s="443" t="s">
        <v>150</v>
      </c>
      <c r="C103" s="29" t="s">
        <v>85</v>
      </c>
      <c r="D103" s="1">
        <v>0</v>
      </c>
      <c r="E103" s="36">
        <f>752.54*1.1</f>
        <v>827.79399999999998</v>
      </c>
      <c r="F103" s="41">
        <v>0.2</v>
      </c>
      <c r="G103" s="348">
        <f t="shared" si="5"/>
        <v>1034.7424999999998</v>
      </c>
      <c r="H103" s="348">
        <f>(250+100)*1.5</f>
        <v>525</v>
      </c>
      <c r="I103" s="83">
        <v>0.15</v>
      </c>
      <c r="J103" s="79">
        <f t="shared" si="6"/>
        <v>603.75</v>
      </c>
      <c r="K103" s="349">
        <f t="shared" si="7"/>
        <v>0</v>
      </c>
      <c r="L103" s="350">
        <f t="shared" si="8"/>
        <v>1638.4924999999998</v>
      </c>
      <c r="M103" s="351">
        <f t="shared" si="9"/>
        <v>0</v>
      </c>
      <c r="N103" s="258"/>
      <c r="O103" s="258"/>
    </row>
    <row r="104" spans="1:15" s="297" customFormat="1" ht="14.15" customHeight="1" x14ac:dyDescent="0.3">
      <c r="A104" s="341"/>
      <c r="B104" s="443" t="s">
        <v>428</v>
      </c>
      <c r="C104" s="29" t="s">
        <v>85</v>
      </c>
      <c r="D104" s="1">
        <v>10</v>
      </c>
      <c r="E104" s="36">
        <v>500</v>
      </c>
      <c r="F104" s="41">
        <v>0.2</v>
      </c>
      <c r="G104" s="348">
        <f t="shared" si="5"/>
        <v>625</v>
      </c>
      <c r="H104" s="348">
        <f>(250+100)*1.5</f>
        <v>525</v>
      </c>
      <c r="I104" s="83">
        <v>0.15</v>
      </c>
      <c r="J104" s="79">
        <f t="shared" si="6"/>
        <v>603.75</v>
      </c>
      <c r="K104" s="349">
        <f t="shared" si="7"/>
        <v>6037.5</v>
      </c>
      <c r="L104" s="350">
        <f t="shared" si="8"/>
        <v>1228.75</v>
      </c>
      <c r="M104" s="351">
        <f t="shared" si="9"/>
        <v>12287.5</v>
      </c>
      <c r="N104" s="258"/>
      <c r="O104" s="258"/>
    </row>
    <row r="105" spans="1:15" s="297" customFormat="1" ht="14.15" customHeight="1" x14ac:dyDescent="0.3">
      <c r="A105" s="341" t="s">
        <v>176</v>
      </c>
      <c r="B105" s="443" t="s">
        <v>177</v>
      </c>
      <c r="C105" s="29" t="s">
        <v>85</v>
      </c>
      <c r="D105" s="1">
        <v>0</v>
      </c>
      <c r="E105" s="36">
        <f>350*1.1</f>
        <v>385.00000000000006</v>
      </c>
      <c r="F105" s="41">
        <v>0.2</v>
      </c>
      <c r="G105" s="348">
        <f t="shared" si="5"/>
        <v>481.25000000000006</v>
      </c>
      <c r="H105" s="348">
        <f>(250+100)*1.5</f>
        <v>525</v>
      </c>
      <c r="I105" s="83">
        <v>0.15</v>
      </c>
      <c r="J105" s="79">
        <f t="shared" si="6"/>
        <v>603.75</v>
      </c>
      <c r="K105" s="349">
        <f t="shared" si="7"/>
        <v>0</v>
      </c>
      <c r="L105" s="350">
        <f t="shared" si="8"/>
        <v>1085</v>
      </c>
      <c r="M105" s="351">
        <f t="shared" si="9"/>
        <v>0</v>
      </c>
      <c r="N105" s="258"/>
      <c r="O105" s="258"/>
    </row>
    <row r="106" spans="1:15" s="297" customFormat="1" ht="14.15" customHeight="1" x14ac:dyDescent="0.3">
      <c r="A106" s="341" t="s">
        <v>178</v>
      </c>
      <c r="B106" s="443" t="s">
        <v>152</v>
      </c>
      <c r="C106" s="29" t="s">
        <v>85</v>
      </c>
      <c r="D106" s="1">
        <v>0</v>
      </c>
      <c r="E106" s="36">
        <v>550</v>
      </c>
      <c r="F106" s="41">
        <v>0.2</v>
      </c>
      <c r="G106" s="348">
        <f t="shared" si="5"/>
        <v>687.5</v>
      </c>
      <c r="H106" s="348">
        <f>(250+100)*1.5</f>
        <v>525</v>
      </c>
      <c r="I106" s="83">
        <v>0.15</v>
      </c>
      <c r="J106" s="79">
        <f t="shared" si="6"/>
        <v>603.75</v>
      </c>
      <c r="K106" s="349">
        <f t="shared" si="7"/>
        <v>0</v>
      </c>
      <c r="L106" s="350">
        <f t="shared" si="8"/>
        <v>1291.25</v>
      </c>
      <c r="M106" s="351">
        <f t="shared" si="9"/>
        <v>0</v>
      </c>
      <c r="N106" s="258"/>
      <c r="O106" s="258"/>
    </row>
    <row r="107" spans="1:15" s="297" customFormat="1" ht="14.15" customHeight="1" x14ac:dyDescent="0.3">
      <c r="A107" s="341" t="s">
        <v>179</v>
      </c>
      <c r="B107" s="443" t="s">
        <v>154</v>
      </c>
      <c r="C107" s="29" t="s">
        <v>85</v>
      </c>
      <c r="D107" s="1">
        <v>16</v>
      </c>
      <c r="E107" s="36">
        <v>350</v>
      </c>
      <c r="F107" s="41">
        <v>0.2</v>
      </c>
      <c r="G107" s="348">
        <f t="shared" si="5"/>
        <v>437.5</v>
      </c>
      <c r="H107" s="348">
        <v>525</v>
      </c>
      <c r="I107" s="83">
        <v>0.15</v>
      </c>
      <c r="J107" s="79">
        <f t="shared" si="6"/>
        <v>603.75</v>
      </c>
      <c r="K107" s="349">
        <f t="shared" si="7"/>
        <v>9660</v>
      </c>
      <c r="L107" s="350">
        <f t="shared" si="8"/>
        <v>1041.25</v>
      </c>
      <c r="M107" s="351">
        <f t="shared" si="9"/>
        <v>16660</v>
      </c>
      <c r="N107" s="258"/>
      <c r="O107" s="258"/>
    </row>
    <row r="108" spans="1:15" s="297" customFormat="1" ht="14.5" customHeight="1" x14ac:dyDescent="0.3">
      <c r="A108" s="341" t="s">
        <v>180</v>
      </c>
      <c r="B108" s="443" t="s">
        <v>156</v>
      </c>
      <c r="C108" s="29" t="s">
        <v>85</v>
      </c>
      <c r="D108" s="1">
        <v>0</v>
      </c>
      <c r="E108" s="36"/>
      <c r="F108" s="41"/>
      <c r="G108" s="348">
        <f t="shared" si="5"/>
        <v>0</v>
      </c>
      <c r="H108" s="348">
        <v>525</v>
      </c>
      <c r="I108" s="83">
        <v>0.15</v>
      </c>
      <c r="J108" s="79">
        <f t="shared" si="6"/>
        <v>603.75</v>
      </c>
      <c r="K108" s="349">
        <f t="shared" si="7"/>
        <v>0</v>
      </c>
      <c r="L108" s="350">
        <f t="shared" si="8"/>
        <v>603.75</v>
      </c>
      <c r="M108" s="351">
        <f t="shared" si="9"/>
        <v>0</v>
      </c>
      <c r="N108" s="258"/>
      <c r="O108" s="258"/>
    </row>
    <row r="109" spans="1:15" s="297" customFormat="1" ht="14.15" customHeight="1" x14ac:dyDescent="0.3">
      <c r="A109" s="341" t="s">
        <v>181</v>
      </c>
      <c r="B109" s="443" t="s">
        <v>158</v>
      </c>
      <c r="C109" s="29" t="s">
        <v>85</v>
      </c>
      <c r="D109" s="1">
        <v>10</v>
      </c>
      <c r="E109" s="36">
        <v>350</v>
      </c>
      <c r="F109" s="41">
        <v>0.2</v>
      </c>
      <c r="G109" s="348">
        <f t="shared" si="5"/>
        <v>437.5</v>
      </c>
      <c r="H109" s="348">
        <v>525</v>
      </c>
      <c r="I109" s="83">
        <v>0.15</v>
      </c>
      <c r="J109" s="79">
        <f t="shared" si="6"/>
        <v>603.75</v>
      </c>
      <c r="K109" s="349">
        <f t="shared" si="7"/>
        <v>6037.5</v>
      </c>
      <c r="L109" s="350">
        <f t="shared" si="8"/>
        <v>1041.25</v>
      </c>
      <c r="M109" s="351">
        <f t="shared" si="9"/>
        <v>10412.5</v>
      </c>
      <c r="N109" s="258"/>
      <c r="O109" s="258"/>
    </row>
    <row r="110" spans="1:15" s="297" customFormat="1" ht="14.15" customHeight="1" x14ac:dyDescent="0.3">
      <c r="A110" s="341" t="s">
        <v>182</v>
      </c>
      <c r="B110" s="443" t="s">
        <v>160</v>
      </c>
      <c r="C110" s="29" t="s">
        <v>85</v>
      </c>
      <c r="D110" s="1">
        <v>0</v>
      </c>
      <c r="E110" s="36">
        <v>350</v>
      </c>
      <c r="F110" s="41">
        <v>0.2</v>
      </c>
      <c r="G110" s="348">
        <f t="shared" si="5"/>
        <v>437.5</v>
      </c>
      <c r="H110" s="348">
        <v>525</v>
      </c>
      <c r="I110" s="83">
        <v>0.15</v>
      </c>
      <c r="J110" s="79">
        <f t="shared" si="6"/>
        <v>603.75</v>
      </c>
      <c r="K110" s="349">
        <f t="shared" si="7"/>
        <v>0</v>
      </c>
      <c r="L110" s="350">
        <f t="shared" si="8"/>
        <v>1041.25</v>
      </c>
      <c r="M110" s="351">
        <f t="shared" si="9"/>
        <v>0</v>
      </c>
      <c r="N110" s="258"/>
      <c r="O110" s="258"/>
    </row>
    <row r="111" spans="1:15" s="297" customFormat="1" ht="14.15" customHeight="1" x14ac:dyDescent="0.3">
      <c r="A111" s="341" t="s">
        <v>183</v>
      </c>
      <c r="B111" s="443" t="s">
        <v>184</v>
      </c>
      <c r="C111" s="29" t="s">
        <v>85</v>
      </c>
      <c r="D111" s="1">
        <v>0</v>
      </c>
      <c r="E111" s="36"/>
      <c r="F111" s="41"/>
      <c r="G111" s="348">
        <f t="shared" si="5"/>
        <v>0</v>
      </c>
      <c r="H111" s="348">
        <v>525</v>
      </c>
      <c r="I111" s="83">
        <v>0.15</v>
      </c>
      <c r="J111" s="79">
        <f t="shared" si="6"/>
        <v>603.75</v>
      </c>
      <c r="K111" s="349">
        <f t="shared" si="7"/>
        <v>0</v>
      </c>
      <c r="L111" s="350">
        <f t="shared" si="8"/>
        <v>603.75</v>
      </c>
      <c r="M111" s="351">
        <f t="shared" si="9"/>
        <v>0</v>
      </c>
      <c r="N111" s="258"/>
      <c r="O111" s="258"/>
    </row>
    <row r="112" spans="1:15" s="297" customFormat="1" ht="14.15" customHeight="1" x14ac:dyDescent="0.3">
      <c r="A112" s="341" t="s">
        <v>185</v>
      </c>
      <c r="B112" s="443" t="s">
        <v>186</v>
      </c>
      <c r="C112" s="29" t="s">
        <v>85</v>
      </c>
      <c r="D112" s="1">
        <v>0</v>
      </c>
      <c r="E112" s="36">
        <v>250</v>
      </c>
      <c r="F112" s="41">
        <v>0.2</v>
      </c>
      <c r="G112" s="348">
        <f t="shared" si="5"/>
        <v>312.5</v>
      </c>
      <c r="H112" s="348">
        <v>525</v>
      </c>
      <c r="I112" s="83">
        <v>0.15</v>
      </c>
      <c r="J112" s="79">
        <f t="shared" si="6"/>
        <v>603.75</v>
      </c>
      <c r="K112" s="349">
        <f t="shared" si="7"/>
        <v>0</v>
      </c>
      <c r="L112" s="350">
        <f t="shared" si="8"/>
        <v>916.25</v>
      </c>
      <c r="M112" s="351">
        <f t="shared" si="9"/>
        <v>0</v>
      </c>
      <c r="N112" s="258"/>
      <c r="O112" s="258"/>
    </row>
    <row r="113" spans="1:15" s="297" customFormat="1" ht="14.15" customHeight="1" x14ac:dyDescent="0.3">
      <c r="A113" s="341" t="s">
        <v>187</v>
      </c>
      <c r="B113" s="443" t="s">
        <v>188</v>
      </c>
      <c r="C113" s="29" t="s">
        <v>85</v>
      </c>
      <c r="D113" s="1">
        <v>0</v>
      </c>
      <c r="E113" s="36">
        <v>500</v>
      </c>
      <c r="F113" s="41">
        <v>0.2</v>
      </c>
      <c r="G113" s="348">
        <f t="shared" si="5"/>
        <v>625</v>
      </c>
      <c r="H113" s="348">
        <v>525</v>
      </c>
      <c r="I113" s="83">
        <v>0.15</v>
      </c>
      <c r="J113" s="79">
        <f t="shared" si="6"/>
        <v>603.75</v>
      </c>
      <c r="K113" s="349">
        <f t="shared" si="7"/>
        <v>0</v>
      </c>
      <c r="L113" s="350">
        <f t="shared" si="8"/>
        <v>1228.75</v>
      </c>
      <c r="M113" s="351">
        <f t="shared" si="9"/>
        <v>0</v>
      </c>
      <c r="N113" s="258"/>
      <c r="O113" s="258"/>
    </row>
    <row r="114" spans="1:15" s="297" customFormat="1" ht="14.5" customHeight="1" thickBot="1" x14ac:dyDescent="0.35">
      <c r="A114" s="381" t="s">
        <v>189</v>
      </c>
      <c r="B114" s="446" t="s">
        <v>190</v>
      </c>
      <c r="C114" s="76" t="s">
        <v>85</v>
      </c>
      <c r="D114" s="50">
        <v>0</v>
      </c>
      <c r="E114" s="51">
        <v>500</v>
      </c>
      <c r="F114" s="52">
        <v>0.2</v>
      </c>
      <c r="G114" s="376">
        <f t="shared" si="5"/>
        <v>625</v>
      </c>
      <c r="H114" s="376">
        <v>525</v>
      </c>
      <c r="I114" s="84">
        <v>0.15</v>
      </c>
      <c r="J114" s="80">
        <f t="shared" si="6"/>
        <v>603.75</v>
      </c>
      <c r="K114" s="382">
        <f t="shared" si="7"/>
        <v>0</v>
      </c>
      <c r="L114" s="350">
        <f t="shared" si="8"/>
        <v>1228.75</v>
      </c>
      <c r="M114" s="378">
        <f t="shared" si="9"/>
        <v>0</v>
      </c>
      <c r="N114" s="258"/>
      <c r="O114" s="258"/>
    </row>
    <row r="115" spans="1:15" s="297" customFormat="1" ht="14.5" customHeight="1" thickBot="1" x14ac:dyDescent="0.35">
      <c r="A115" s="404"/>
      <c r="B115" s="453"/>
      <c r="C115" s="29"/>
      <c r="D115" s="1"/>
      <c r="E115" s="36"/>
      <c r="F115" s="41"/>
      <c r="G115" s="348"/>
      <c r="H115" s="348"/>
      <c r="I115" s="79"/>
      <c r="J115" s="79"/>
      <c r="K115" s="406"/>
      <c r="L115" s="350"/>
      <c r="M115" s="351"/>
      <c r="N115" s="258"/>
      <c r="O115" s="258"/>
    </row>
    <row r="116" spans="1:15" ht="14.15" customHeight="1" x14ac:dyDescent="0.3">
      <c r="A116" s="359">
        <v>2.15</v>
      </c>
      <c r="B116" s="450"/>
      <c r="C116" s="75"/>
      <c r="D116" s="58" t="s">
        <v>191</v>
      </c>
      <c r="E116" s="56"/>
      <c r="F116" s="57"/>
      <c r="G116" s="361"/>
      <c r="H116" s="361"/>
      <c r="I116" s="56"/>
      <c r="J116" s="56"/>
      <c r="K116" s="362"/>
      <c r="L116" s="363"/>
      <c r="M116" s="363"/>
      <c r="N116" s="258"/>
      <c r="O116" s="258"/>
    </row>
    <row r="117" spans="1:15" ht="14.15" customHeight="1" x14ac:dyDescent="0.3">
      <c r="A117" s="341"/>
      <c r="B117" s="444"/>
      <c r="C117" s="29"/>
      <c r="D117" s="1"/>
      <c r="E117" s="36"/>
      <c r="F117" s="41"/>
      <c r="G117" s="348"/>
      <c r="H117" s="348"/>
      <c r="I117" s="79"/>
      <c r="J117" s="79"/>
      <c r="K117" s="349"/>
      <c r="L117" s="350"/>
      <c r="M117" s="351"/>
      <c r="N117" s="258"/>
      <c r="O117" s="258"/>
    </row>
    <row r="118" spans="1:15" ht="28" customHeight="1" x14ac:dyDescent="0.3">
      <c r="A118" s="341"/>
      <c r="B118" s="443" t="s">
        <v>192</v>
      </c>
      <c r="C118" s="29"/>
      <c r="D118" s="1"/>
      <c r="E118" s="36"/>
      <c r="F118" s="41"/>
      <c r="G118" s="348"/>
      <c r="H118" s="348"/>
      <c r="I118" s="79"/>
      <c r="J118" s="79"/>
      <c r="K118" s="349"/>
      <c r="L118" s="350"/>
      <c r="M118" s="351"/>
      <c r="N118" s="258"/>
      <c r="O118" s="258"/>
    </row>
    <row r="119" spans="1:15" ht="14.15" customHeight="1" x14ac:dyDescent="0.3">
      <c r="A119" s="384"/>
      <c r="B119" s="443"/>
      <c r="C119" s="29"/>
      <c r="D119" s="1"/>
      <c r="E119" s="36"/>
      <c r="F119" s="41"/>
      <c r="G119" s="348"/>
      <c r="H119" s="348"/>
      <c r="I119" s="79"/>
      <c r="J119" s="79"/>
      <c r="K119" s="349"/>
      <c r="L119" s="350"/>
      <c r="M119" s="351"/>
      <c r="N119" s="258"/>
      <c r="O119" s="258"/>
    </row>
    <row r="120" spans="1:15" ht="14.15" customHeight="1" x14ac:dyDescent="0.3">
      <c r="A120" s="341" t="s">
        <v>193</v>
      </c>
      <c r="B120" s="443" t="s">
        <v>194</v>
      </c>
      <c r="C120" s="29" t="s">
        <v>108</v>
      </c>
      <c r="D120" s="1">
        <v>0</v>
      </c>
      <c r="E120" s="36">
        <f>132*(15+10+10)</f>
        <v>4620</v>
      </c>
      <c r="F120" s="41">
        <v>0.2</v>
      </c>
      <c r="G120" s="348">
        <f>E120/(1-F120)</f>
        <v>5775</v>
      </c>
      <c r="H120" s="348">
        <f>9*(15+10+10)</f>
        <v>315</v>
      </c>
      <c r="I120" s="83">
        <v>0.15</v>
      </c>
      <c r="J120" s="79">
        <f>H120*(1+I120)</f>
        <v>362.25</v>
      </c>
      <c r="K120" s="349">
        <f>J120*D120</f>
        <v>0</v>
      </c>
      <c r="L120" s="350">
        <f>G120+J120</f>
        <v>6137.25</v>
      </c>
      <c r="M120" s="351">
        <f>D120*L120</f>
        <v>0</v>
      </c>
      <c r="N120" s="258"/>
      <c r="O120" s="258"/>
    </row>
    <row r="121" spans="1:15" ht="14.5" customHeight="1" thickBot="1" x14ac:dyDescent="0.35">
      <c r="A121" s="381" t="s">
        <v>195</v>
      </c>
      <c r="B121" s="446" t="s">
        <v>196</v>
      </c>
      <c r="C121" s="76" t="s">
        <v>108</v>
      </c>
      <c r="D121" s="50">
        <v>500</v>
      </c>
      <c r="E121" s="51">
        <f>30</f>
        <v>30</v>
      </c>
      <c r="F121" s="52">
        <v>0.2</v>
      </c>
      <c r="G121" s="376">
        <f>E121/(1-F121)</f>
        <v>37.5</v>
      </c>
      <c r="H121" s="376">
        <f>15</f>
        <v>15</v>
      </c>
      <c r="I121" s="84">
        <v>0.15</v>
      </c>
      <c r="J121" s="80">
        <f>H121*(1+I121)</f>
        <v>17.25</v>
      </c>
      <c r="K121" s="382">
        <f>J121*D121</f>
        <v>8625</v>
      </c>
      <c r="L121" s="407">
        <f>G121+J121</f>
        <v>54.75</v>
      </c>
      <c r="M121" s="378">
        <f>D121*L121</f>
        <v>27375</v>
      </c>
      <c r="N121" s="258"/>
      <c r="O121" s="258"/>
    </row>
    <row r="122" spans="1:15" ht="14.5" customHeight="1" thickBot="1" x14ac:dyDescent="0.35">
      <c r="A122" s="258"/>
      <c r="B122" s="453"/>
      <c r="C122" s="29"/>
      <c r="D122" s="1"/>
      <c r="E122" s="36"/>
      <c r="F122" s="41"/>
      <c r="G122" s="348"/>
      <c r="H122" s="348"/>
      <c r="I122" s="79"/>
      <c r="J122" s="79"/>
      <c r="K122" s="406"/>
      <c r="L122" s="350"/>
      <c r="M122" s="351"/>
      <c r="N122" s="258"/>
      <c r="O122" s="258"/>
    </row>
    <row r="123" spans="1:15" ht="14.15" customHeight="1" x14ac:dyDescent="0.3">
      <c r="A123" s="359">
        <v>2.16</v>
      </c>
      <c r="B123" s="450"/>
      <c r="C123" s="75"/>
      <c r="D123" s="58" t="s">
        <v>197</v>
      </c>
      <c r="E123" s="56"/>
      <c r="F123" s="57"/>
      <c r="G123" s="361"/>
      <c r="H123" s="361"/>
      <c r="I123" s="56"/>
      <c r="J123" s="56"/>
      <c r="K123" s="362"/>
      <c r="L123" s="363"/>
      <c r="M123" s="363"/>
      <c r="N123" s="258"/>
      <c r="O123" s="258"/>
    </row>
    <row r="124" spans="1:15" ht="14.15" customHeight="1" x14ac:dyDescent="0.3">
      <c r="A124" s="341"/>
      <c r="B124" s="444"/>
      <c r="C124" s="29"/>
      <c r="D124" s="1"/>
      <c r="E124" s="36"/>
      <c r="F124" s="41"/>
      <c r="G124" s="348"/>
      <c r="H124" s="348"/>
      <c r="I124" s="79"/>
      <c r="J124" s="79"/>
      <c r="K124" s="349"/>
      <c r="L124" s="350"/>
      <c r="M124" s="351"/>
      <c r="N124" s="258"/>
      <c r="O124" s="258"/>
    </row>
    <row r="125" spans="1:15" ht="28.5" customHeight="1" thickBot="1" x14ac:dyDescent="0.35">
      <c r="A125" s="381" t="s">
        <v>198</v>
      </c>
      <c r="B125" s="446" t="s">
        <v>199</v>
      </c>
      <c r="C125" s="86" t="s">
        <v>108</v>
      </c>
      <c r="D125" s="50">
        <v>10</v>
      </c>
      <c r="E125" s="51">
        <v>5</v>
      </c>
      <c r="F125" s="52">
        <v>0.2</v>
      </c>
      <c r="G125" s="376">
        <f>E125/(1-F125)</f>
        <v>6.25</v>
      </c>
      <c r="H125" s="376">
        <f>(100*3)</f>
        <v>300</v>
      </c>
      <c r="I125" s="84">
        <v>0.15</v>
      </c>
      <c r="J125" s="80">
        <f>H125*(1+I125)</f>
        <v>345</v>
      </c>
      <c r="K125" s="382">
        <f>J125*D125</f>
        <v>3450</v>
      </c>
      <c r="L125" s="407">
        <f>G125+J125</f>
        <v>351.25</v>
      </c>
      <c r="M125" s="378">
        <f>D125*L125</f>
        <v>3512.5</v>
      </c>
      <c r="N125" s="258"/>
      <c r="O125" s="258"/>
    </row>
    <row r="126" spans="1:15" ht="13.4" customHeight="1" thickBot="1" x14ac:dyDescent="0.35">
      <c r="A126" s="404"/>
      <c r="B126" s="453"/>
      <c r="C126" s="87"/>
      <c r="D126" s="1"/>
      <c r="E126" s="36"/>
      <c r="F126" s="41"/>
      <c r="G126" s="348"/>
      <c r="H126" s="348"/>
      <c r="I126" s="79"/>
      <c r="J126" s="79"/>
      <c r="K126" s="406"/>
      <c r="L126" s="350"/>
      <c r="M126" s="351"/>
      <c r="N126" s="258"/>
      <c r="O126" s="258"/>
    </row>
    <row r="127" spans="1:15" ht="14.15" customHeight="1" x14ac:dyDescent="0.3">
      <c r="A127" s="359">
        <v>2.17</v>
      </c>
      <c r="B127" s="450"/>
      <c r="C127" s="91"/>
      <c r="D127" s="58" t="s">
        <v>200</v>
      </c>
      <c r="E127" s="56"/>
      <c r="F127" s="57"/>
      <c r="G127" s="361"/>
      <c r="H127" s="361"/>
      <c r="I127" s="56"/>
      <c r="J127" s="56"/>
      <c r="K127" s="362"/>
      <c r="L127" s="363"/>
      <c r="M127" s="363"/>
      <c r="N127" s="258"/>
      <c r="O127" s="258"/>
    </row>
    <row r="128" spans="1:15" ht="14.15" customHeight="1" x14ac:dyDescent="0.3">
      <c r="A128" s="341"/>
      <c r="B128" s="454"/>
      <c r="C128" s="87"/>
      <c r="D128" s="1"/>
      <c r="E128" s="36"/>
      <c r="F128" s="41"/>
      <c r="G128" s="348"/>
      <c r="H128" s="348"/>
      <c r="I128" s="79"/>
      <c r="J128" s="79"/>
      <c r="K128" s="349"/>
      <c r="L128" s="350"/>
      <c r="M128" s="351"/>
      <c r="N128" s="258"/>
      <c r="O128" s="258"/>
    </row>
    <row r="129" spans="1:15" ht="14.15" customHeight="1" x14ac:dyDescent="0.3">
      <c r="A129" s="341"/>
      <c r="B129" s="443" t="s">
        <v>201</v>
      </c>
      <c r="C129" s="87"/>
      <c r="D129" s="1"/>
      <c r="E129" s="36"/>
      <c r="F129" s="41"/>
      <c r="G129" s="348"/>
      <c r="H129" s="348"/>
      <c r="I129" s="79"/>
      <c r="J129" s="79"/>
      <c r="K129" s="349"/>
      <c r="L129" s="350"/>
      <c r="M129" s="351"/>
      <c r="N129" s="258"/>
      <c r="O129" s="258"/>
    </row>
    <row r="130" spans="1:15" ht="14.15" customHeight="1" x14ac:dyDescent="0.3">
      <c r="A130" s="384"/>
      <c r="B130" s="455"/>
      <c r="C130" s="87"/>
      <c r="D130" s="1"/>
      <c r="E130" s="36"/>
      <c r="F130" s="41"/>
      <c r="G130" s="348"/>
      <c r="H130" s="348"/>
      <c r="I130" s="79"/>
      <c r="J130" s="79"/>
      <c r="K130" s="349"/>
      <c r="L130" s="350"/>
      <c r="M130" s="351"/>
      <c r="N130" s="258"/>
      <c r="O130" s="258"/>
    </row>
    <row r="131" spans="1:15" ht="28" customHeight="1" x14ac:dyDescent="0.3">
      <c r="A131" s="341" t="s">
        <v>202</v>
      </c>
      <c r="B131" s="443" t="s">
        <v>203</v>
      </c>
      <c r="C131" s="87" t="s">
        <v>42</v>
      </c>
      <c r="D131" s="1">
        <v>0</v>
      </c>
      <c r="E131" s="36"/>
      <c r="F131" s="41">
        <v>0.2</v>
      </c>
      <c r="G131" s="348">
        <f>E131/(1-F131)</f>
        <v>0</v>
      </c>
      <c r="H131" s="348">
        <f>140*(20+60+200)</f>
        <v>39200</v>
      </c>
      <c r="I131" s="83">
        <v>0.15</v>
      </c>
      <c r="J131" s="79">
        <f>H131*(1+I131)</f>
        <v>45080</v>
      </c>
      <c r="K131" s="349">
        <f>J131*D131</f>
        <v>0</v>
      </c>
      <c r="L131" s="350">
        <f>G131+J131</f>
        <v>45080</v>
      </c>
      <c r="M131" s="351">
        <f>D131*L131</f>
        <v>0</v>
      </c>
      <c r="N131" s="258"/>
      <c r="O131" s="258"/>
    </row>
    <row r="132" spans="1:15" s="297" customFormat="1" ht="28" customHeight="1" x14ac:dyDescent="0.3">
      <c r="A132" s="341" t="s">
        <v>204</v>
      </c>
      <c r="B132" s="443" t="s">
        <v>205</v>
      </c>
      <c r="C132" s="87" t="s">
        <v>42</v>
      </c>
      <c r="D132" s="1">
        <v>0</v>
      </c>
      <c r="E132" s="36"/>
      <c r="F132" s="41">
        <v>0.2</v>
      </c>
      <c r="G132" s="348">
        <f>E132/(1-F132)</f>
        <v>0</v>
      </c>
      <c r="H132" s="348">
        <f>140*(20+60+200)</f>
        <v>39200</v>
      </c>
      <c r="I132" s="83">
        <v>0.15</v>
      </c>
      <c r="J132" s="79">
        <f>H132*(1+I132)</f>
        <v>45080</v>
      </c>
      <c r="K132" s="349">
        <f>J132*D132</f>
        <v>0</v>
      </c>
      <c r="L132" s="350">
        <f>G132+J132</f>
        <v>45080</v>
      </c>
      <c r="M132" s="351">
        <f>D132*L132</f>
        <v>0</v>
      </c>
      <c r="N132" s="258"/>
      <c r="O132" s="258"/>
    </row>
    <row r="133" spans="1:15" s="297" customFormat="1" ht="14.15" customHeight="1" x14ac:dyDescent="0.3">
      <c r="A133" s="341" t="s">
        <v>206</v>
      </c>
      <c r="B133" s="443" t="s">
        <v>207</v>
      </c>
      <c r="C133" s="87" t="s">
        <v>42</v>
      </c>
      <c r="D133" s="1">
        <v>0</v>
      </c>
      <c r="E133" s="36">
        <f>35*(50+50)</f>
        <v>3500</v>
      </c>
      <c r="F133" s="41">
        <v>0.2</v>
      </c>
      <c r="G133" s="348">
        <f>E133/(1-F133)</f>
        <v>4375</v>
      </c>
      <c r="H133" s="348">
        <f>5*(50+50+50)</f>
        <v>750</v>
      </c>
      <c r="I133" s="83">
        <v>0.15</v>
      </c>
      <c r="J133" s="79">
        <f>H133*(1+I133)</f>
        <v>862.49999999999989</v>
      </c>
      <c r="K133" s="349">
        <f>J133*D133</f>
        <v>0</v>
      </c>
      <c r="L133" s="350">
        <f>G133+J133</f>
        <v>5237.5</v>
      </c>
      <c r="M133" s="351">
        <f>D133*L133</f>
        <v>0</v>
      </c>
      <c r="N133" s="258"/>
      <c r="O133" s="258"/>
    </row>
    <row r="134" spans="1:15" s="297" customFormat="1" ht="14.5" customHeight="1" thickBot="1" x14ac:dyDescent="0.35">
      <c r="A134" s="381" t="s">
        <v>208</v>
      </c>
      <c r="B134" s="446" t="s">
        <v>209</v>
      </c>
      <c r="C134" s="86" t="s">
        <v>42</v>
      </c>
      <c r="D134" s="50">
        <v>0</v>
      </c>
      <c r="E134" s="51">
        <f>4500*3</f>
        <v>13500</v>
      </c>
      <c r="F134" s="52">
        <v>0.2</v>
      </c>
      <c r="G134" s="376">
        <f>E134/(1-F134)</f>
        <v>16875</v>
      </c>
      <c r="H134" s="376">
        <v>5</v>
      </c>
      <c r="I134" s="84">
        <v>0.15</v>
      </c>
      <c r="J134" s="80">
        <f>H134*(1+I134)</f>
        <v>5.75</v>
      </c>
      <c r="K134" s="382">
        <f>J134*D134</f>
        <v>0</v>
      </c>
      <c r="L134" s="407">
        <f>G134+J134</f>
        <v>16880.75</v>
      </c>
      <c r="M134" s="378">
        <f>D134*L134</f>
        <v>0</v>
      </c>
      <c r="N134" s="258"/>
      <c r="O134" s="258"/>
    </row>
    <row r="135" spans="1:15" s="297" customFormat="1" ht="14.5" customHeight="1" thickBot="1" x14ac:dyDescent="0.35">
      <c r="A135" s="404"/>
      <c r="B135" s="456"/>
      <c r="C135" s="1"/>
      <c r="D135" s="1"/>
      <c r="E135" s="36"/>
      <c r="F135" s="41"/>
      <c r="G135" s="348"/>
      <c r="H135" s="348"/>
      <c r="I135" s="79"/>
      <c r="J135" s="79"/>
      <c r="K135" s="406"/>
      <c r="L135" s="350"/>
      <c r="M135" s="351"/>
      <c r="N135" s="258"/>
      <c r="O135" s="258"/>
    </row>
    <row r="136" spans="1:15" s="297" customFormat="1" ht="14.15" customHeight="1" x14ac:dyDescent="0.3">
      <c r="A136" s="359">
        <v>2.1800000000000002</v>
      </c>
      <c r="B136" s="450"/>
      <c r="C136" s="91"/>
      <c r="D136" s="55" t="s">
        <v>210</v>
      </c>
      <c r="E136" s="56"/>
      <c r="F136" s="57"/>
      <c r="G136" s="361"/>
      <c r="H136" s="361"/>
      <c r="I136" s="56"/>
      <c r="J136" s="56"/>
      <c r="K136" s="362"/>
      <c r="L136" s="363"/>
      <c r="M136" s="363"/>
      <c r="N136" s="258"/>
      <c r="O136" s="258"/>
    </row>
    <row r="137" spans="1:15" s="297" customFormat="1" ht="14.15" customHeight="1" x14ac:dyDescent="0.3">
      <c r="A137" s="341"/>
      <c r="B137" s="454"/>
      <c r="C137" s="87"/>
      <c r="D137" s="1"/>
      <c r="E137" s="36"/>
      <c r="F137" s="41"/>
      <c r="G137" s="348"/>
      <c r="H137" s="348"/>
      <c r="I137" s="79"/>
      <c r="J137" s="79"/>
      <c r="K137" s="349"/>
      <c r="L137" s="350"/>
      <c r="M137" s="351"/>
      <c r="N137" s="258"/>
      <c r="O137" s="258"/>
    </row>
    <row r="138" spans="1:15" s="297" customFormat="1" ht="14.15" customHeight="1" x14ac:dyDescent="0.3">
      <c r="A138" s="341" t="s">
        <v>211</v>
      </c>
      <c r="B138" s="443" t="s">
        <v>243</v>
      </c>
      <c r="C138" s="87" t="s">
        <v>42</v>
      </c>
      <c r="D138" s="1">
        <v>2</v>
      </c>
      <c r="E138" s="36">
        <v>10000</v>
      </c>
      <c r="F138" s="41">
        <v>0.2</v>
      </c>
      <c r="G138" s="348">
        <f>E138/(1-F138)</f>
        <v>12500</v>
      </c>
      <c r="H138" s="348">
        <f>2500*3</f>
        <v>7500</v>
      </c>
      <c r="I138" s="79"/>
      <c r="J138" s="79"/>
      <c r="K138" s="349">
        <f>H138*D138</f>
        <v>15000</v>
      </c>
      <c r="L138" s="350">
        <f>G138+J138</f>
        <v>12500</v>
      </c>
      <c r="M138" s="351">
        <f>D138*L138</f>
        <v>25000</v>
      </c>
      <c r="N138" s="258"/>
      <c r="O138" s="258"/>
    </row>
    <row r="139" spans="1:15" s="297" customFormat="1" ht="14.5" customHeight="1" thickBot="1" x14ac:dyDescent="0.35">
      <c r="A139" s="381"/>
      <c r="B139" s="411"/>
      <c r="C139" s="50"/>
      <c r="D139" s="50"/>
      <c r="E139" s="51"/>
      <c r="F139" s="52"/>
      <c r="G139" s="376"/>
      <c r="H139" s="376"/>
      <c r="I139" s="80"/>
      <c r="J139" s="80"/>
      <c r="K139" s="382">
        <f>H139*D139</f>
        <v>0</v>
      </c>
      <c r="L139" s="412"/>
      <c r="M139" s="378"/>
      <c r="N139" s="258"/>
      <c r="O139" s="258"/>
    </row>
    <row r="140" spans="1:15" s="297" customFormat="1" ht="14.15" customHeight="1" x14ac:dyDescent="0.3">
      <c r="A140" s="369"/>
      <c r="B140" s="413"/>
      <c r="C140" s="1"/>
      <c r="D140" s="1"/>
      <c r="E140" s="36"/>
      <c r="F140" s="41"/>
      <c r="G140" s="348"/>
      <c r="H140" s="348"/>
      <c r="I140" s="36"/>
      <c r="J140" s="36"/>
      <c r="K140" s="414"/>
      <c r="L140" s="350"/>
      <c r="M140" s="351"/>
      <c r="N140" s="258"/>
      <c r="O140" s="258"/>
    </row>
    <row r="141" spans="1:15" s="297" customFormat="1" ht="14.15" customHeight="1" x14ac:dyDescent="0.3">
      <c r="A141" s="404">
        <v>2.19</v>
      </c>
      <c r="B141" s="455" t="s">
        <v>213</v>
      </c>
      <c r="C141" s="29"/>
      <c r="D141" s="1"/>
      <c r="E141" s="36"/>
      <c r="F141" s="41"/>
      <c r="G141" s="348"/>
      <c r="H141" s="348"/>
      <c r="I141" s="36"/>
      <c r="J141" s="36"/>
      <c r="K141" s="415">
        <f>H141*D141</f>
        <v>0</v>
      </c>
      <c r="L141" s="350"/>
      <c r="M141" s="351"/>
      <c r="N141" s="258"/>
      <c r="O141" s="258"/>
    </row>
    <row r="142" spans="1:15" s="297" customFormat="1" ht="14.15" customHeight="1" x14ac:dyDescent="0.3">
      <c r="A142" s="404" t="s">
        <v>214</v>
      </c>
      <c r="B142" s="443" t="s">
        <v>215</v>
      </c>
      <c r="C142" s="29" t="s">
        <v>42</v>
      </c>
      <c r="D142" s="1">
        <v>1</v>
      </c>
      <c r="E142" s="36">
        <v>25000</v>
      </c>
      <c r="F142" s="41">
        <v>0</v>
      </c>
      <c r="G142" s="348">
        <f>E142/(1-F142)</f>
        <v>25000</v>
      </c>
      <c r="H142" s="348">
        <v>0</v>
      </c>
      <c r="I142" s="36"/>
      <c r="J142" s="36"/>
      <c r="K142" s="415">
        <f>H142*D142</f>
        <v>0</v>
      </c>
      <c r="L142" s="350">
        <f>G142+H142</f>
        <v>25000</v>
      </c>
      <c r="M142" s="351">
        <f>D142*L142</f>
        <v>25000</v>
      </c>
      <c r="N142" s="258"/>
      <c r="O142" s="258"/>
    </row>
    <row r="143" spans="1:15" s="297" customFormat="1" ht="14.15" customHeight="1" x14ac:dyDescent="0.3">
      <c r="A143" s="404"/>
      <c r="B143" s="455"/>
      <c r="C143" s="29"/>
      <c r="D143" s="1"/>
      <c r="E143" s="36"/>
      <c r="F143" s="41"/>
      <c r="G143" s="348"/>
      <c r="H143" s="348"/>
      <c r="I143" s="36"/>
      <c r="J143" s="36"/>
      <c r="K143" s="415"/>
      <c r="L143" s="350"/>
      <c r="M143" s="351"/>
      <c r="N143" s="258"/>
      <c r="O143" s="258"/>
    </row>
    <row r="144" spans="1:15" s="297" customFormat="1" ht="14.15" customHeight="1" x14ac:dyDescent="0.3">
      <c r="A144" s="416">
        <v>2.2000000000000002</v>
      </c>
      <c r="B144" s="455" t="s">
        <v>216</v>
      </c>
      <c r="C144" s="29"/>
      <c r="D144" s="1"/>
      <c r="E144" s="36"/>
      <c r="F144" s="41"/>
      <c r="G144" s="348"/>
      <c r="H144" s="348"/>
      <c r="I144" s="36"/>
      <c r="J144" s="36"/>
      <c r="K144" s="415">
        <f>H144*D144</f>
        <v>0</v>
      </c>
      <c r="L144" s="350"/>
      <c r="M144" s="351"/>
      <c r="N144" s="258"/>
      <c r="O144" s="258"/>
    </row>
    <row r="145" spans="1:15" s="297" customFormat="1" ht="14.15" customHeight="1" x14ac:dyDescent="0.3">
      <c r="A145" s="404" t="s">
        <v>217</v>
      </c>
      <c r="B145" s="443" t="s">
        <v>218</v>
      </c>
      <c r="C145" s="29" t="s">
        <v>42</v>
      </c>
      <c r="D145" s="1">
        <v>1</v>
      </c>
      <c r="E145" s="36">
        <f>15000</f>
        <v>15000</v>
      </c>
      <c r="F145" s="41">
        <v>0</v>
      </c>
      <c r="G145" s="348">
        <f>E145/(1-F145)</f>
        <v>15000</v>
      </c>
      <c r="H145" s="348">
        <v>0</v>
      </c>
      <c r="I145" s="36"/>
      <c r="J145" s="36"/>
      <c r="K145" s="415">
        <f>H145*D145</f>
        <v>0</v>
      </c>
      <c r="L145" s="350">
        <f>G145+H145</f>
        <v>15000</v>
      </c>
      <c r="M145" s="351">
        <f>D145*L145</f>
        <v>15000</v>
      </c>
      <c r="N145" s="258"/>
      <c r="O145" s="258"/>
    </row>
    <row r="146" spans="1:15" s="297" customFormat="1" ht="14.15" customHeight="1" x14ac:dyDescent="0.3">
      <c r="A146" s="404"/>
      <c r="B146" s="455"/>
      <c r="C146" s="29"/>
      <c r="D146" s="1"/>
      <c r="E146" s="36"/>
      <c r="F146" s="41"/>
      <c r="G146" s="348"/>
      <c r="H146" s="348"/>
      <c r="I146" s="36"/>
      <c r="J146" s="36"/>
      <c r="K146" s="415"/>
      <c r="L146" s="350"/>
      <c r="M146" s="351"/>
      <c r="N146" s="258"/>
      <c r="O146" s="258"/>
    </row>
    <row r="147" spans="1:15" s="297" customFormat="1" ht="14.15" customHeight="1" x14ac:dyDescent="0.3">
      <c r="A147" s="404">
        <v>2.21</v>
      </c>
      <c r="B147" s="455" t="s">
        <v>219</v>
      </c>
      <c r="C147" s="29"/>
      <c r="D147" s="1"/>
      <c r="E147" s="36"/>
      <c r="F147" s="41"/>
      <c r="G147" s="348"/>
      <c r="H147" s="348"/>
      <c r="I147" s="36"/>
      <c r="J147" s="36"/>
      <c r="K147" s="415">
        <f>H147*D147</f>
        <v>0</v>
      </c>
      <c r="L147" s="350"/>
      <c r="M147" s="351"/>
      <c r="N147" s="258"/>
      <c r="O147" s="258"/>
    </row>
    <row r="148" spans="1:15" ht="14.15" customHeight="1" x14ac:dyDescent="0.3">
      <c r="A148" s="404" t="s">
        <v>220</v>
      </c>
      <c r="B148" s="443" t="s">
        <v>221</v>
      </c>
      <c r="C148" s="29" t="s">
        <v>42</v>
      </c>
      <c r="D148" s="1">
        <v>1</v>
      </c>
      <c r="E148" s="36">
        <f>5000</f>
        <v>5000</v>
      </c>
      <c r="F148" s="41">
        <v>0</v>
      </c>
      <c r="G148" s="348">
        <f>E148/(1-F148)</f>
        <v>5000</v>
      </c>
      <c r="H148" s="348">
        <v>0</v>
      </c>
      <c r="I148" s="36"/>
      <c r="J148" s="36"/>
      <c r="K148" s="415">
        <f>H148*D148</f>
        <v>0</v>
      </c>
      <c r="L148" s="350">
        <f>G148+H148</f>
        <v>5000</v>
      </c>
      <c r="M148" s="351">
        <f>D148*L148</f>
        <v>5000</v>
      </c>
      <c r="N148" s="258"/>
      <c r="O148" s="258"/>
    </row>
    <row r="149" spans="1:15" ht="14.15" customHeight="1" x14ac:dyDescent="0.3">
      <c r="A149" s="404" t="s">
        <v>222</v>
      </c>
      <c r="B149" s="443" t="s">
        <v>223</v>
      </c>
      <c r="C149" s="29" t="s">
        <v>42</v>
      </c>
      <c r="D149" s="1">
        <v>1</v>
      </c>
      <c r="E149" s="36">
        <f>50000</f>
        <v>50000</v>
      </c>
      <c r="F149" s="41">
        <v>0</v>
      </c>
      <c r="G149" s="348">
        <f>E149/(1-F149)</f>
        <v>50000</v>
      </c>
      <c r="H149" s="348">
        <v>0</v>
      </c>
      <c r="I149" s="36"/>
      <c r="J149" s="36"/>
      <c r="K149" s="415">
        <f>H149*D149</f>
        <v>0</v>
      </c>
      <c r="L149" s="350">
        <f>G149+H149</f>
        <v>50000</v>
      </c>
      <c r="M149" s="351">
        <f>D149*L149</f>
        <v>50000</v>
      </c>
      <c r="N149" s="258"/>
      <c r="O149" s="258"/>
    </row>
    <row r="150" spans="1:15" ht="14.15" customHeight="1" x14ac:dyDescent="0.3">
      <c r="A150" s="404"/>
      <c r="B150" s="413"/>
      <c r="C150" s="28"/>
      <c r="D150" s="1"/>
      <c r="E150" s="36"/>
      <c r="F150" s="41"/>
      <c r="G150" s="348"/>
      <c r="H150" s="348"/>
      <c r="I150" s="36"/>
      <c r="J150" s="36"/>
      <c r="K150" s="415"/>
      <c r="L150" s="350"/>
      <c r="M150" s="351"/>
      <c r="N150" s="258"/>
      <c r="O150" s="258"/>
    </row>
    <row r="151" spans="1:15" ht="14.15" customHeight="1" x14ac:dyDescent="0.3">
      <c r="A151" s="404">
        <v>2.2200000000000002</v>
      </c>
      <c r="B151" s="455" t="s">
        <v>224</v>
      </c>
      <c r="C151" s="28"/>
      <c r="D151" s="1"/>
      <c r="E151" s="36"/>
      <c r="F151" s="41"/>
      <c r="G151" s="348"/>
      <c r="H151" s="348"/>
      <c r="I151" s="36"/>
      <c r="J151" s="36"/>
      <c r="K151" s="415">
        <f>H151*D151</f>
        <v>0</v>
      </c>
      <c r="L151" s="350"/>
      <c r="M151" s="351"/>
      <c r="N151" s="258"/>
      <c r="O151" s="258"/>
    </row>
    <row r="152" spans="1:15" ht="14.15" customHeight="1" x14ac:dyDescent="0.3">
      <c r="A152" s="404"/>
      <c r="B152" s="413"/>
      <c r="C152" s="28"/>
      <c r="D152" s="1"/>
      <c r="E152" s="36"/>
      <c r="F152" s="41"/>
      <c r="G152" s="348"/>
      <c r="H152" s="348"/>
      <c r="I152" s="36"/>
      <c r="J152" s="36"/>
      <c r="K152" s="415">
        <f>H152*D152</f>
        <v>0</v>
      </c>
      <c r="L152" s="350"/>
      <c r="M152" s="351"/>
      <c r="N152" s="258"/>
      <c r="O152" s="258"/>
    </row>
    <row r="153" spans="1:15" ht="28" customHeight="1" x14ac:dyDescent="0.3">
      <c r="A153" s="404" t="s">
        <v>225</v>
      </c>
      <c r="B153" s="443" t="s">
        <v>226</v>
      </c>
      <c r="C153" s="1" t="s">
        <v>42</v>
      </c>
      <c r="D153" s="1">
        <v>1</v>
      </c>
      <c r="E153" s="36">
        <f>5000*3</f>
        <v>15000</v>
      </c>
      <c r="F153" s="41">
        <v>0.2</v>
      </c>
      <c r="G153" s="348">
        <f>E153/(1-F153)</f>
        <v>18750</v>
      </c>
      <c r="H153" s="348">
        <v>1</v>
      </c>
      <c r="I153" s="36"/>
      <c r="J153" s="36"/>
      <c r="K153" s="415">
        <f>H153*D153</f>
        <v>1</v>
      </c>
      <c r="L153" s="350">
        <f>G153+H153</f>
        <v>18751</v>
      </c>
      <c r="M153" s="351">
        <f>D153*L153</f>
        <v>18751</v>
      </c>
      <c r="N153" s="258"/>
      <c r="O153" s="258"/>
    </row>
    <row r="154" spans="1:15" ht="14.15" customHeight="1" x14ac:dyDescent="0.3">
      <c r="A154" s="404"/>
      <c r="B154" s="413"/>
      <c r="C154" s="28"/>
      <c r="D154" s="1"/>
      <c r="E154" s="36"/>
      <c r="F154" s="41"/>
      <c r="G154" s="348"/>
      <c r="H154" s="348"/>
      <c r="I154" s="36"/>
      <c r="J154" s="36"/>
      <c r="K154" s="417"/>
      <c r="L154" s="350"/>
      <c r="M154" s="418"/>
      <c r="N154" s="258"/>
      <c r="O154" s="258"/>
    </row>
    <row r="155" spans="1:15" ht="14.5" customHeight="1" thickBot="1" x14ac:dyDescent="0.35">
      <c r="A155" s="440"/>
      <c r="B155" s="413"/>
      <c r="C155" s="28"/>
      <c r="D155" s="1"/>
      <c r="E155" s="36"/>
      <c r="F155" s="41"/>
      <c r="G155" s="348"/>
      <c r="H155" s="348"/>
      <c r="I155" s="36"/>
      <c r="J155" s="36"/>
      <c r="K155" s="417"/>
      <c r="L155" s="350"/>
      <c r="M155" s="418"/>
      <c r="N155" s="258"/>
      <c r="O155" s="258"/>
    </row>
    <row r="156" spans="1:15" ht="18.75" customHeight="1" thickTop="1" x14ac:dyDescent="0.3">
      <c r="A156" s="419"/>
      <c r="B156" s="457" t="s">
        <v>227</v>
      </c>
      <c r="C156" s="2"/>
      <c r="D156" s="2"/>
      <c r="E156" s="39"/>
      <c r="F156" s="42"/>
      <c r="G156" s="421"/>
      <c r="H156" s="421"/>
      <c r="I156" s="39"/>
      <c r="J156" s="39"/>
      <c r="K156" s="422">
        <f>SUM(K11:K153)</f>
        <v>738034.74999999988</v>
      </c>
      <c r="L156" s="458"/>
      <c r="M156" s="424">
        <f>SUM(M11:M155)</f>
        <v>11700045.486083334</v>
      </c>
      <c r="N156" s="518">
        <f>M156*1.15</f>
        <v>13455052.308995834</v>
      </c>
      <c r="O156" s="258"/>
    </row>
    <row r="157" spans="1:15" ht="16.5" customHeight="1" x14ac:dyDescent="0.3">
      <c r="A157" s="426"/>
      <c r="B157" s="427"/>
      <c r="C157" s="257"/>
      <c r="D157" s="47"/>
      <c r="E157" s="250"/>
      <c r="F157" s="48"/>
      <c r="G157" s="428"/>
      <c r="H157" s="428"/>
      <c r="I157" s="250"/>
      <c r="J157" s="250"/>
      <c r="K157" s="429"/>
      <c r="L157" s="430"/>
      <c r="M157" s="431"/>
      <c r="N157" s="258"/>
      <c r="O157" s="258"/>
    </row>
    <row r="158" spans="1:15" ht="18.75" customHeight="1" x14ac:dyDescent="0.3">
      <c r="A158" s="258"/>
      <c r="B158" s="387"/>
      <c r="C158" s="34"/>
      <c r="D158" s="249"/>
      <c r="E158" s="249"/>
      <c r="F158" s="249"/>
      <c r="G158" s="432"/>
      <c r="H158" s="432"/>
      <c r="I158" s="249"/>
      <c r="J158" s="249"/>
      <c r="K158" s="432"/>
      <c r="L158" s="433"/>
      <c r="M158" s="434"/>
      <c r="N158" s="258"/>
      <c r="O158" s="258"/>
    </row>
    <row r="159" spans="1:15" ht="18.75" customHeight="1" x14ac:dyDescent="0.25">
      <c r="A159" s="258"/>
      <c r="B159" s="258"/>
      <c r="G159" s="258"/>
      <c r="H159" s="258"/>
      <c r="K159" s="258"/>
      <c r="L159" s="258"/>
      <c r="M159" s="258"/>
      <c r="N159" s="258"/>
      <c r="O159" s="258"/>
    </row>
    <row r="160" spans="1:15" ht="18.75" customHeight="1" x14ac:dyDescent="0.25">
      <c r="A160" s="258"/>
      <c r="B160" s="258"/>
      <c r="G160" s="258"/>
      <c r="H160" s="258"/>
      <c r="K160" s="258"/>
      <c r="L160" s="258"/>
      <c r="M160" s="258"/>
      <c r="N160" s="258"/>
      <c r="O160" s="258"/>
    </row>
    <row r="161" spans="1:15" ht="18.75" customHeight="1" x14ac:dyDescent="0.25">
      <c r="A161" s="258"/>
      <c r="B161" s="258"/>
      <c r="G161" s="258"/>
      <c r="H161" s="258"/>
      <c r="K161" s="258"/>
      <c r="L161" s="258"/>
      <c r="M161" s="258"/>
      <c r="N161" s="258"/>
      <c r="O161" s="258"/>
    </row>
    <row r="162" spans="1:15" ht="18.75" customHeight="1" x14ac:dyDescent="0.25">
      <c r="A162" s="258"/>
      <c r="B162" s="258"/>
      <c r="G162" s="258"/>
      <c r="H162" s="258"/>
      <c r="K162" s="258"/>
      <c r="L162" s="258"/>
      <c r="M162" s="258"/>
      <c r="N162" s="258"/>
      <c r="O162" s="258"/>
    </row>
    <row r="163" spans="1:15" ht="18.75" customHeight="1" x14ac:dyDescent="0.25">
      <c r="A163" s="258"/>
      <c r="B163" s="258"/>
      <c r="G163" s="258"/>
      <c r="H163" s="258"/>
      <c r="K163" s="258"/>
      <c r="L163" s="258"/>
      <c r="M163" s="258"/>
      <c r="N163" s="258"/>
      <c r="O163" s="258"/>
    </row>
    <row r="164" spans="1:15" ht="18.75" customHeight="1" x14ac:dyDescent="0.25">
      <c r="A164" s="258"/>
      <c r="B164" s="258"/>
      <c r="G164" s="258"/>
      <c r="H164" s="258"/>
      <c r="K164" s="258"/>
      <c r="L164" s="258"/>
      <c r="M164" s="258"/>
      <c r="N164" s="258"/>
      <c r="O164" s="258"/>
    </row>
    <row r="165" spans="1:15" ht="18.75" customHeight="1" x14ac:dyDescent="0.25">
      <c r="A165" s="258"/>
      <c r="B165" s="258"/>
      <c r="G165" s="258"/>
      <c r="H165" s="258"/>
      <c r="K165" s="258"/>
      <c r="L165" s="258"/>
      <c r="M165" s="258"/>
      <c r="N165" s="258"/>
      <c r="O165" s="258"/>
    </row>
    <row r="166" spans="1:15" ht="18.75" customHeight="1" x14ac:dyDescent="0.25">
      <c r="A166" s="258"/>
      <c r="B166" s="258"/>
      <c r="G166" s="258"/>
      <c r="H166" s="258"/>
      <c r="K166" s="258"/>
      <c r="L166" s="258"/>
      <c r="M166" s="258"/>
      <c r="N166" s="258"/>
      <c r="O166" s="258"/>
    </row>
    <row r="167" spans="1:15" ht="18.75" customHeight="1" x14ac:dyDescent="0.25">
      <c r="A167" s="258"/>
      <c r="B167" s="258"/>
      <c r="G167" s="258"/>
      <c r="H167" s="258"/>
      <c r="K167" s="258"/>
      <c r="L167" s="258"/>
      <c r="M167" s="258"/>
      <c r="N167" s="258"/>
      <c r="O167" s="258"/>
    </row>
    <row r="168" spans="1:15" s="8" customFormat="1" ht="18.75" customHeight="1" x14ac:dyDescent="0.25">
      <c r="A168" s="258"/>
      <c r="B168" s="435"/>
      <c r="C168" s="35"/>
      <c r="G168" s="258"/>
      <c r="H168" s="258"/>
      <c r="K168" s="258"/>
      <c r="L168" s="436"/>
      <c r="M168" s="437"/>
      <c r="N168" s="258"/>
      <c r="O168" s="258"/>
    </row>
    <row r="169" spans="1:15" s="8" customFormat="1" ht="18.75" customHeight="1" x14ac:dyDescent="0.25">
      <c r="A169" s="258"/>
      <c r="B169" s="435"/>
      <c r="C169" s="35"/>
      <c r="G169" s="258"/>
      <c r="H169" s="258"/>
      <c r="K169" s="258"/>
      <c r="L169" s="436"/>
      <c r="M169" s="437"/>
      <c r="N169" s="258"/>
      <c r="O169" s="258"/>
    </row>
    <row r="170" spans="1:15" s="8" customFormat="1" ht="18.75" customHeight="1" x14ac:dyDescent="0.25">
      <c r="A170" s="258"/>
      <c r="B170" s="435"/>
      <c r="C170" s="35"/>
      <c r="G170" s="258"/>
      <c r="H170" s="258"/>
      <c r="K170" s="258"/>
      <c r="L170" s="436"/>
      <c r="M170" s="437"/>
      <c r="N170" s="258"/>
      <c r="O170" s="258"/>
    </row>
    <row r="171" spans="1:15" s="8" customFormat="1" ht="18.75" customHeight="1" x14ac:dyDescent="0.25">
      <c r="A171" s="258"/>
      <c r="B171" s="435"/>
      <c r="C171" s="35"/>
      <c r="G171" s="258"/>
      <c r="H171" s="258"/>
      <c r="K171" s="258"/>
      <c r="L171" s="436"/>
      <c r="M171" s="437"/>
      <c r="N171" s="258"/>
      <c r="O171" s="258"/>
    </row>
    <row r="172" spans="1:15" s="8" customFormat="1" ht="18.75" customHeight="1" x14ac:dyDescent="0.25">
      <c r="A172" s="258"/>
      <c r="B172" s="435"/>
      <c r="C172" s="35"/>
      <c r="G172" s="258"/>
      <c r="H172" s="258"/>
      <c r="K172" s="258"/>
      <c r="L172" s="436"/>
      <c r="M172" s="437"/>
      <c r="N172" s="258"/>
      <c r="O172" s="258"/>
    </row>
    <row r="173" spans="1:15" s="8" customFormat="1" ht="18.75" customHeight="1" x14ac:dyDescent="0.25">
      <c r="A173" s="258"/>
      <c r="B173" s="435"/>
      <c r="C173" s="35"/>
      <c r="G173" s="258"/>
      <c r="H173" s="258"/>
      <c r="K173" s="258"/>
      <c r="L173" s="436"/>
      <c r="M173" s="437"/>
      <c r="N173" s="258"/>
      <c r="O173" s="258"/>
    </row>
    <row r="174" spans="1:15" s="8" customFormat="1" ht="18.75" customHeight="1" x14ac:dyDescent="0.25">
      <c r="A174" s="258"/>
      <c r="B174" s="435"/>
      <c r="C174" s="35"/>
      <c r="G174" s="258"/>
      <c r="H174" s="258"/>
      <c r="K174" s="258"/>
      <c r="L174" s="436"/>
      <c r="M174" s="437"/>
      <c r="N174" s="258"/>
      <c r="O174" s="258"/>
    </row>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O176"/>
  <sheetViews>
    <sheetView view="pageBreakPreview" zoomScale="70" zoomScaleNormal="100" zoomScaleSheetLayoutView="70" workbookViewId="0">
      <pane ySplit="5" topLeftCell="A12" activePane="bottomLeft" state="frozen"/>
      <selection pane="bottomLeft" activeCell="B20" sqref="B20"/>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7.453125" style="8" bestFit="1" customWidth="1"/>
    <col min="8" max="10" width="13.81640625" style="8" customWidth="1"/>
    <col min="11" max="11" width="14.81640625" style="8" bestFit="1" customWidth="1"/>
    <col min="12" max="12" width="13.54296875" style="295" bestFit="1"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5" t="s">
        <v>36</v>
      </c>
      <c r="E5" s="40" t="s">
        <v>72</v>
      </c>
      <c r="F5" s="82" t="s">
        <v>73</v>
      </c>
      <c r="G5" s="313" t="s">
        <v>74</v>
      </c>
      <c r="H5" s="314" t="s">
        <v>75</v>
      </c>
      <c r="I5" s="82" t="s">
        <v>73</v>
      </c>
      <c r="J5" s="315" t="s">
        <v>76</v>
      </c>
      <c r="K5" s="316"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347" t="s">
        <v>429</v>
      </c>
      <c r="C11" s="248" t="s">
        <v>85</v>
      </c>
      <c r="D11" s="1">
        <v>140</v>
      </c>
      <c r="E11" s="36">
        <f>1623.93*1.2</f>
        <v>1948.7159999999999</v>
      </c>
      <c r="F11" s="41">
        <v>0.25</v>
      </c>
      <c r="G11" s="348">
        <f>E11/(1-F11)</f>
        <v>2598.288</v>
      </c>
      <c r="H11" s="348">
        <v>350</v>
      </c>
      <c r="I11" s="83">
        <v>0.15</v>
      </c>
      <c r="J11" s="79">
        <f>H11*(1+I11)</f>
        <v>402.49999999999994</v>
      </c>
      <c r="K11" s="349">
        <f>J11*D11</f>
        <v>56349.999999999993</v>
      </c>
      <c r="L11" s="350">
        <f>G11+J11</f>
        <v>3000.788</v>
      </c>
      <c r="M11" s="351">
        <f>D11*L11</f>
        <v>420110.32</v>
      </c>
      <c r="N11" s="258"/>
      <c r="O11" s="258"/>
    </row>
    <row r="12" spans="1:15" ht="14.5" customHeight="1" thickBot="1" x14ac:dyDescent="0.35">
      <c r="A12" s="354"/>
      <c r="B12" s="441"/>
      <c r="C12" s="89"/>
      <c r="D12" s="72"/>
      <c r="E12" s="73"/>
      <c r="F12" s="74"/>
      <c r="G12" s="356"/>
      <c r="H12" s="356"/>
      <c r="I12" s="73"/>
      <c r="J12" s="73"/>
      <c r="K12" s="357"/>
      <c r="L12" s="358"/>
      <c r="M12" s="358"/>
      <c r="N12" s="258"/>
      <c r="O12" s="258"/>
    </row>
    <row r="13" spans="1:15" ht="14.15" customHeight="1" x14ac:dyDescent="0.3">
      <c r="A13" s="359" t="s">
        <v>86</v>
      </c>
      <c r="B13" s="360"/>
      <c r="C13" s="55"/>
      <c r="D13" s="58" t="s">
        <v>87</v>
      </c>
      <c r="E13" s="56"/>
      <c r="F13" s="57"/>
      <c r="G13" s="361"/>
      <c r="H13" s="361"/>
      <c r="I13" s="56"/>
      <c r="J13" s="56"/>
      <c r="K13" s="362"/>
      <c r="L13" s="363"/>
      <c r="M13" s="363"/>
      <c r="N13" s="258"/>
      <c r="O13" s="258"/>
    </row>
    <row r="14" spans="1:15" ht="14.5" customHeight="1" thickBot="1" x14ac:dyDescent="0.35">
      <c r="A14" s="341" t="s">
        <v>88</v>
      </c>
      <c r="B14" s="517" t="s">
        <v>430</v>
      </c>
      <c r="C14" s="85" t="s">
        <v>85</v>
      </c>
      <c r="D14" s="50">
        <v>5</v>
      </c>
      <c r="E14" s="36">
        <f>37623.76*1.2</f>
        <v>45148.512000000002</v>
      </c>
      <c r="F14" s="41">
        <v>0.2</v>
      </c>
      <c r="G14" s="348">
        <f>E14/(1-F14)</f>
        <v>56435.64</v>
      </c>
      <c r="H14" s="348">
        <f>(550*8)+3600</f>
        <v>8000</v>
      </c>
      <c r="I14" s="83">
        <v>0.15</v>
      </c>
      <c r="J14" s="79">
        <f>H14*(1+I14)</f>
        <v>9200</v>
      </c>
      <c r="K14" s="349">
        <f>J14*D14</f>
        <v>46000</v>
      </c>
      <c r="L14" s="350">
        <f>G14+J14</f>
        <v>65635.64</v>
      </c>
      <c r="M14" s="351">
        <f>D14*L14</f>
        <v>328178.2</v>
      </c>
      <c r="N14" s="258"/>
      <c r="O14" s="258"/>
    </row>
    <row r="15" spans="1:15" ht="14.5" customHeight="1" thickBot="1" x14ac:dyDescent="0.35">
      <c r="A15" s="354"/>
      <c r="B15" s="441"/>
      <c r="C15" s="89"/>
      <c r="D15" s="72"/>
      <c r="E15" s="73"/>
      <c r="F15" s="74"/>
      <c r="G15" s="356"/>
      <c r="H15" s="356"/>
      <c r="I15" s="73"/>
      <c r="J15" s="73"/>
      <c r="K15" s="357"/>
      <c r="L15" s="358"/>
      <c r="M15" s="358"/>
      <c r="N15" s="258"/>
      <c r="O15" s="258"/>
    </row>
    <row r="16" spans="1:15" ht="14.15" customHeight="1" x14ac:dyDescent="0.3">
      <c r="A16" s="359">
        <v>2.2999999999999998</v>
      </c>
      <c r="B16" s="367"/>
      <c r="C16" s="55"/>
      <c r="D16" s="58" t="s">
        <v>91</v>
      </c>
      <c r="E16" s="56"/>
      <c r="F16" s="57"/>
      <c r="G16" s="361"/>
      <c r="H16" s="361"/>
      <c r="I16" s="56"/>
      <c r="J16" s="56"/>
      <c r="K16" s="362"/>
      <c r="L16" s="363"/>
      <c r="M16" s="363"/>
      <c r="N16" s="258"/>
      <c r="O16" s="258"/>
    </row>
    <row r="17" spans="1:15" ht="14.5" customHeight="1" thickBot="1" x14ac:dyDescent="0.35">
      <c r="A17" s="341" t="s">
        <v>92</v>
      </c>
      <c r="B17" s="446" t="s">
        <v>431</v>
      </c>
      <c r="C17" s="85" t="s">
        <v>85</v>
      </c>
      <c r="D17" s="50">
        <v>6</v>
      </c>
      <c r="E17" s="51">
        <v>1200</v>
      </c>
      <c r="F17" s="41">
        <v>0.2</v>
      </c>
      <c r="G17" s="348">
        <f>E17/(1-F17)</f>
        <v>1500</v>
      </c>
      <c r="H17" s="348">
        <f>(550*4)+3500</f>
        <v>5700</v>
      </c>
      <c r="I17" s="83">
        <v>0.15</v>
      </c>
      <c r="J17" s="79">
        <f>H17*(1+I17)</f>
        <v>6554.9999999999991</v>
      </c>
      <c r="K17" s="349">
        <f>J17*D17</f>
        <v>39329.999999999993</v>
      </c>
      <c r="L17" s="350">
        <f>G17+J17</f>
        <v>8054.9999999999991</v>
      </c>
      <c r="M17" s="351">
        <f>D17*L17</f>
        <v>48329.999999999993</v>
      </c>
      <c r="N17" s="258"/>
      <c r="O17" s="258"/>
    </row>
    <row r="18" spans="1:15" ht="14.5" customHeight="1" thickBot="1" x14ac:dyDescent="0.35">
      <c r="A18" s="341" t="s">
        <v>94</v>
      </c>
      <c r="B18" s="444" t="s">
        <v>432</v>
      </c>
      <c r="C18" s="248" t="s">
        <v>90</v>
      </c>
      <c r="D18" s="1">
        <v>3</v>
      </c>
      <c r="E18" s="36">
        <v>70000</v>
      </c>
      <c r="F18" s="41">
        <v>0.2</v>
      </c>
      <c r="G18" s="348">
        <f>E18/(1-F18)</f>
        <v>87500</v>
      </c>
      <c r="H18" s="348">
        <f>(550*4)+3500</f>
        <v>5700</v>
      </c>
      <c r="I18" s="83">
        <v>0.15</v>
      </c>
      <c r="J18" s="79">
        <f>H18*(1+I18)</f>
        <v>6554.9999999999991</v>
      </c>
      <c r="K18" s="349">
        <f>J18*D18</f>
        <v>19664.999999999996</v>
      </c>
      <c r="L18" s="350">
        <f>G18+J18</f>
        <v>94055</v>
      </c>
      <c r="M18" s="351">
        <f>D18*L18</f>
        <v>282165</v>
      </c>
      <c r="N18" s="436"/>
      <c r="O18" s="369"/>
    </row>
    <row r="19" spans="1:15" ht="14.15" customHeight="1" x14ac:dyDescent="0.3">
      <c r="A19" s="359">
        <v>2.4</v>
      </c>
      <c r="B19" s="360"/>
      <c r="C19" s="55"/>
      <c r="D19" s="58" t="s">
        <v>96</v>
      </c>
      <c r="E19" s="56"/>
      <c r="F19" s="57"/>
      <c r="G19" s="361"/>
      <c r="H19" s="361"/>
      <c r="I19" s="56"/>
      <c r="J19" s="56"/>
      <c r="K19" s="362"/>
      <c r="L19" s="363"/>
      <c r="M19" s="363"/>
      <c r="N19" s="258"/>
      <c r="O19" s="258"/>
    </row>
    <row r="20" spans="1:15" ht="28" customHeight="1" x14ac:dyDescent="0.3">
      <c r="A20" s="370" t="s">
        <v>97</v>
      </c>
      <c r="B20" s="445" t="s">
        <v>433</v>
      </c>
      <c r="C20" s="7" t="s">
        <v>85</v>
      </c>
      <c r="D20" s="7">
        <v>1</v>
      </c>
      <c r="E20" s="37">
        <f>83283.18*1.2</f>
        <v>99939.815999999992</v>
      </c>
      <c r="F20" s="41">
        <v>0.2</v>
      </c>
      <c r="G20" s="348">
        <f>E20/(1-F20)</f>
        <v>124924.76999999999</v>
      </c>
      <c r="H20" s="371">
        <f>(550*8)+3600</f>
        <v>8000</v>
      </c>
      <c r="I20" s="83">
        <v>0.15</v>
      </c>
      <c r="J20" s="79">
        <f>H20*(1+I20)</f>
        <v>9200</v>
      </c>
      <c r="K20" s="349">
        <f>J20*D20</f>
        <v>9200</v>
      </c>
      <c r="L20" s="350">
        <f>G20+J20</f>
        <v>134124.76999999999</v>
      </c>
      <c r="M20" s="351">
        <f>D20*L20</f>
        <v>134124.76999999999</v>
      </c>
      <c r="N20" s="258"/>
      <c r="O20" s="258"/>
    </row>
    <row r="21" spans="1:15" ht="28" customHeight="1" x14ac:dyDescent="0.3">
      <c r="A21" s="370"/>
      <c r="B21" s="445" t="s">
        <v>434</v>
      </c>
      <c r="C21" s="7" t="s">
        <v>85</v>
      </c>
      <c r="D21" s="7">
        <v>1</v>
      </c>
      <c r="E21" s="37">
        <f>128057.73*1.2</f>
        <v>153669.27599999998</v>
      </c>
      <c r="F21" s="41">
        <v>0.2</v>
      </c>
      <c r="G21" s="348">
        <f>E21/(1-F21)</f>
        <v>192086.59499999997</v>
      </c>
      <c r="H21" s="371">
        <f>(550*8)+3600</f>
        <v>8000</v>
      </c>
      <c r="I21" s="83">
        <v>0.15</v>
      </c>
      <c r="J21" s="79">
        <f>H21*(1+I21)</f>
        <v>9200</v>
      </c>
      <c r="K21" s="349">
        <f>J21*D21</f>
        <v>9200</v>
      </c>
      <c r="L21" s="350">
        <f>G21+J21</f>
        <v>201286.59499999997</v>
      </c>
      <c r="M21" s="351">
        <f>D21*L21</f>
        <v>201286.59499999997</v>
      </c>
      <c r="N21" s="258"/>
      <c r="O21" s="258"/>
    </row>
    <row r="22" spans="1:15" ht="28" customHeight="1" x14ac:dyDescent="0.3">
      <c r="A22" s="370"/>
      <c r="B22" s="445" t="s">
        <v>435</v>
      </c>
      <c r="C22" s="7" t="s">
        <v>85</v>
      </c>
      <c r="D22" s="7">
        <v>2</v>
      </c>
      <c r="E22" s="37">
        <f>248274.72*1.2</f>
        <v>297929.66399999999</v>
      </c>
      <c r="F22" s="41">
        <v>0.2</v>
      </c>
      <c r="G22" s="348">
        <f>E22/(1-F22)</f>
        <v>372412.07999999996</v>
      </c>
      <c r="H22" s="371">
        <f>(550*8)+3600</f>
        <v>8000</v>
      </c>
      <c r="I22" s="83">
        <v>0.15</v>
      </c>
      <c r="J22" s="79">
        <f>H22*(1+I22)</f>
        <v>9200</v>
      </c>
      <c r="K22" s="349">
        <f>J22*D22</f>
        <v>18400</v>
      </c>
      <c r="L22" s="350">
        <f>G22+J22</f>
        <v>381612.07999999996</v>
      </c>
      <c r="M22" s="351">
        <f>D22*L22</f>
        <v>763224.15999999992</v>
      </c>
      <c r="N22" s="258"/>
      <c r="O22" s="258"/>
    </row>
    <row r="23" spans="1:15" ht="14.15" customHeight="1" x14ac:dyDescent="0.3">
      <c r="A23" s="370"/>
      <c r="B23" s="443"/>
      <c r="C23" s="7"/>
      <c r="D23" s="7"/>
      <c r="E23" s="37"/>
      <c r="F23" s="41"/>
      <c r="G23" s="348"/>
      <c r="H23" s="371"/>
      <c r="I23" s="66"/>
      <c r="J23" s="66"/>
      <c r="K23" s="349"/>
      <c r="L23" s="350"/>
      <c r="M23" s="351"/>
      <c r="N23" s="258"/>
      <c r="O23" s="258"/>
    </row>
    <row r="24" spans="1:15" ht="14.15" customHeight="1" x14ac:dyDescent="0.3">
      <c r="A24" s="370" t="s">
        <v>99</v>
      </c>
      <c r="B24" s="443"/>
      <c r="C24" s="7"/>
      <c r="D24" s="7"/>
      <c r="E24" s="37"/>
      <c r="F24" s="41"/>
      <c r="G24" s="348"/>
      <c r="H24" s="371"/>
      <c r="I24" s="66"/>
      <c r="J24" s="66"/>
      <c r="K24" s="349"/>
      <c r="L24" s="350"/>
      <c r="M24" s="351"/>
      <c r="N24" s="258"/>
      <c r="O24" s="258"/>
    </row>
    <row r="25" spans="1:15" ht="28.5" customHeight="1" thickBot="1" x14ac:dyDescent="0.35">
      <c r="A25" s="374"/>
      <c r="B25" s="446" t="s">
        <v>100</v>
      </c>
      <c r="C25" s="68" t="s">
        <v>85</v>
      </c>
      <c r="D25" s="68">
        <v>4</v>
      </c>
      <c r="E25" s="69">
        <f>1888.71*1.15</f>
        <v>2172.0164999999997</v>
      </c>
      <c r="F25" s="52">
        <v>0.2</v>
      </c>
      <c r="G25" s="376">
        <f>E25/(1-F25)</f>
        <v>2715.0206249999997</v>
      </c>
      <c r="H25" s="377">
        <f>250*1</f>
        <v>250</v>
      </c>
      <c r="I25" s="83">
        <v>0.15</v>
      </c>
      <c r="J25" s="79">
        <f>H25*(1+I25)</f>
        <v>287.5</v>
      </c>
      <c r="K25" s="349">
        <f>J25*D25</f>
        <v>1150</v>
      </c>
      <c r="L25" s="350">
        <f>G25+J25</f>
        <v>3002.5206249999997</v>
      </c>
      <c r="M25" s="378">
        <f>D25*L25</f>
        <v>12010.082499999999</v>
      </c>
      <c r="N25" s="258"/>
      <c r="O25" s="258"/>
    </row>
    <row r="26" spans="1:15" ht="14.5" customHeight="1" thickBot="1" x14ac:dyDescent="0.35">
      <c r="A26" s="354"/>
      <c r="B26" s="441"/>
      <c r="C26" s="89"/>
      <c r="D26" s="72"/>
      <c r="E26" s="73"/>
      <c r="F26" s="74"/>
      <c r="G26" s="356"/>
      <c r="H26" s="356"/>
      <c r="I26" s="73"/>
      <c r="J26" s="73"/>
      <c r="K26" s="357"/>
      <c r="L26" s="358"/>
      <c r="M26" s="358"/>
      <c r="N26" s="258"/>
      <c r="O26" s="258"/>
    </row>
    <row r="27" spans="1:15" ht="14.15" customHeight="1" x14ac:dyDescent="0.3">
      <c r="A27" s="379">
        <v>2.5</v>
      </c>
      <c r="B27" s="360"/>
      <c r="C27" s="55"/>
      <c r="D27" s="58" t="s">
        <v>101</v>
      </c>
      <c r="E27" s="56"/>
      <c r="F27" s="57"/>
      <c r="G27" s="361"/>
      <c r="H27" s="361"/>
      <c r="I27" s="56"/>
      <c r="J27" s="56"/>
      <c r="K27" s="362"/>
      <c r="L27" s="363"/>
      <c r="M27" s="363"/>
      <c r="N27" s="258"/>
      <c r="O27" s="258"/>
    </row>
    <row r="28" spans="1:15" ht="14.15" customHeight="1" x14ac:dyDescent="0.3">
      <c r="A28" s="380" t="s">
        <v>102</v>
      </c>
      <c r="B28" s="444" t="s">
        <v>103</v>
      </c>
      <c r="C28" s="7" t="s">
        <v>85</v>
      </c>
      <c r="D28" s="7">
        <f>D11</f>
        <v>140</v>
      </c>
      <c r="E28" s="37">
        <v>650</v>
      </c>
      <c r="F28" s="41">
        <v>0.2</v>
      </c>
      <c r="G28" s="348">
        <f>E28/(1-F28)</f>
        <v>812.5</v>
      </c>
      <c r="H28" s="371">
        <f>(((5*200)*4)*1.2)/D28</f>
        <v>34.285714285714285</v>
      </c>
      <c r="I28" s="83">
        <v>0.15</v>
      </c>
      <c r="J28" s="79">
        <f>H28*(1+I28)</f>
        <v>39.428571428571423</v>
      </c>
      <c r="K28" s="349">
        <f>J28*D28</f>
        <v>5519.9999999999991</v>
      </c>
      <c r="L28" s="350">
        <f>G28+J28</f>
        <v>851.92857142857144</v>
      </c>
      <c r="M28" s="351">
        <f>D28*L28</f>
        <v>119270</v>
      </c>
      <c r="N28" s="258"/>
      <c r="O28" s="258"/>
    </row>
    <row r="29" spans="1:15" ht="14.5" customHeight="1" thickBot="1" x14ac:dyDescent="0.35">
      <c r="A29" s="381"/>
      <c r="B29" s="446" t="s">
        <v>104</v>
      </c>
      <c r="C29" s="85" t="s">
        <v>42</v>
      </c>
      <c r="D29" s="50">
        <v>1</v>
      </c>
      <c r="E29" s="51">
        <f>10000</f>
        <v>10000</v>
      </c>
      <c r="F29" s="52">
        <v>0.2</v>
      </c>
      <c r="G29" s="376">
        <f>E29/(1-F29)</f>
        <v>12500</v>
      </c>
      <c r="H29" s="376">
        <f>2500*3</f>
        <v>7500</v>
      </c>
      <c r="I29" s="83">
        <v>0.15</v>
      </c>
      <c r="J29" s="79">
        <f>H29*(1+I29)</f>
        <v>8625</v>
      </c>
      <c r="K29" s="382">
        <f>J29*D29</f>
        <v>8625</v>
      </c>
      <c r="L29" s="350">
        <f>G29+J29</f>
        <v>21125</v>
      </c>
      <c r="M29" s="378">
        <f>D29*L29</f>
        <v>21125</v>
      </c>
      <c r="N29" s="258"/>
      <c r="O29" s="258"/>
    </row>
    <row r="30" spans="1:15" ht="14.5" customHeight="1" thickBot="1" x14ac:dyDescent="0.35">
      <c r="A30" s="354"/>
      <c r="B30" s="441"/>
      <c r="C30" s="89"/>
      <c r="D30" s="72"/>
      <c r="E30" s="73"/>
      <c r="F30" s="74"/>
      <c r="G30" s="356"/>
      <c r="H30" s="356"/>
      <c r="I30" s="73"/>
      <c r="J30" s="73"/>
      <c r="K30" s="357"/>
      <c r="L30" s="358"/>
      <c r="M30" s="358"/>
      <c r="N30" s="258"/>
      <c r="O30" s="258"/>
    </row>
    <row r="31" spans="1:15" ht="14.15" customHeight="1" x14ac:dyDescent="0.3">
      <c r="A31" s="359">
        <v>2.6</v>
      </c>
      <c r="B31" s="360"/>
      <c r="C31" s="55"/>
      <c r="D31" s="58" t="s">
        <v>105</v>
      </c>
      <c r="E31" s="56"/>
      <c r="F31" s="57"/>
      <c r="G31" s="361"/>
      <c r="H31" s="361"/>
      <c r="I31" s="56"/>
      <c r="J31" s="56"/>
      <c r="K31" s="362"/>
      <c r="L31" s="363"/>
      <c r="M31" s="363"/>
      <c r="N31" s="258"/>
      <c r="O31" s="258"/>
    </row>
    <row r="32" spans="1:15" ht="42" customHeight="1" x14ac:dyDescent="0.3">
      <c r="A32" s="341" t="s">
        <v>106</v>
      </c>
      <c r="B32" s="444" t="s">
        <v>107</v>
      </c>
      <c r="C32" s="248" t="s">
        <v>108</v>
      </c>
      <c r="D32" s="1">
        <v>750</v>
      </c>
      <c r="E32" s="36">
        <f>14.85*1.15</f>
        <v>17.077499999999997</v>
      </c>
      <c r="F32" s="41">
        <v>0.2</v>
      </c>
      <c r="G32" s="348">
        <f>E32/(1-F32)</f>
        <v>21.346874999999994</v>
      </c>
      <c r="H32" s="348">
        <f>39</f>
        <v>39</v>
      </c>
      <c r="I32" s="83">
        <v>0.15</v>
      </c>
      <c r="J32" s="79">
        <f>H32*(1+I32)</f>
        <v>44.849999999999994</v>
      </c>
      <c r="K32" s="349">
        <f>J32*D32</f>
        <v>33637.499999999993</v>
      </c>
      <c r="L32" s="350">
        <f>G32+J32</f>
        <v>66.196874999999991</v>
      </c>
      <c r="M32" s="351">
        <f>D32*L32</f>
        <v>49647.656249999993</v>
      </c>
      <c r="N32" s="258"/>
      <c r="O32" s="258"/>
    </row>
    <row r="33" spans="1:15" ht="14.15" customHeight="1" x14ac:dyDescent="0.3">
      <c r="A33" s="341" t="s">
        <v>109</v>
      </c>
      <c r="B33" s="443" t="s">
        <v>110</v>
      </c>
      <c r="C33" s="248" t="s">
        <v>108</v>
      </c>
      <c r="D33" s="1">
        <v>32</v>
      </c>
      <c r="E33" s="36">
        <f>300</f>
        <v>300</v>
      </c>
      <c r="F33" s="41">
        <v>0.2</v>
      </c>
      <c r="G33" s="348">
        <f>E33/(1-F33)</f>
        <v>375</v>
      </c>
      <c r="H33" s="348">
        <f>65</f>
        <v>65</v>
      </c>
      <c r="I33" s="83">
        <v>0.15</v>
      </c>
      <c r="J33" s="79">
        <f>H33*(1+I33)</f>
        <v>74.75</v>
      </c>
      <c r="K33" s="349">
        <f>J33*D33</f>
        <v>2392</v>
      </c>
      <c r="L33" s="350">
        <f>G33+J33</f>
        <v>449.75</v>
      </c>
      <c r="M33" s="351">
        <f>D33*L33</f>
        <v>14392</v>
      </c>
      <c r="N33" s="258"/>
      <c r="O33" s="258"/>
    </row>
    <row r="34" spans="1:15" ht="14.15" customHeight="1" x14ac:dyDescent="0.3">
      <c r="A34" s="341" t="s">
        <v>111</v>
      </c>
      <c r="B34" s="443" t="s">
        <v>112</v>
      </c>
      <c r="C34" s="248" t="s">
        <v>108</v>
      </c>
      <c r="D34" s="1">
        <v>0</v>
      </c>
      <c r="E34" s="36">
        <f>190</f>
        <v>190</v>
      </c>
      <c r="F34" s="41">
        <v>0.2</v>
      </c>
      <c r="G34" s="348">
        <f>E34/(1-F34)</f>
        <v>237.5</v>
      </c>
      <c r="H34" s="348">
        <f>65</f>
        <v>65</v>
      </c>
      <c r="I34" s="83">
        <v>0.15</v>
      </c>
      <c r="J34" s="79">
        <f>H34*(1+I34)</f>
        <v>74.75</v>
      </c>
      <c r="K34" s="349">
        <f>J34*D34</f>
        <v>0</v>
      </c>
      <c r="L34" s="350">
        <f>G34+J34</f>
        <v>312.25</v>
      </c>
      <c r="M34" s="351">
        <f>D34*L34</f>
        <v>0</v>
      </c>
      <c r="N34" s="258"/>
      <c r="O34" s="258"/>
    </row>
    <row r="35" spans="1:15" ht="14.5" customHeight="1" thickBot="1" x14ac:dyDescent="0.35">
      <c r="A35" s="381"/>
      <c r="B35" s="447" t="s">
        <v>113</v>
      </c>
      <c r="C35" s="85" t="s">
        <v>108</v>
      </c>
      <c r="D35" s="50">
        <v>0</v>
      </c>
      <c r="E35" s="51">
        <f>110</f>
        <v>110</v>
      </c>
      <c r="F35" s="52">
        <v>0.2</v>
      </c>
      <c r="G35" s="376">
        <f>E35/(1-F35)</f>
        <v>137.5</v>
      </c>
      <c r="H35" s="376">
        <f>65</f>
        <v>65</v>
      </c>
      <c r="I35" s="83">
        <v>0.15</v>
      </c>
      <c r="J35" s="79">
        <f>H35*(1+I35)</f>
        <v>74.75</v>
      </c>
      <c r="K35" s="382">
        <f>J35*D35</f>
        <v>0</v>
      </c>
      <c r="L35" s="350">
        <f>G35+J35</f>
        <v>212.25</v>
      </c>
      <c r="M35" s="378">
        <f>D35*L35</f>
        <v>0</v>
      </c>
      <c r="N35" s="258"/>
      <c r="O35" s="258"/>
    </row>
    <row r="36" spans="1:15" ht="14.5" customHeight="1" thickBot="1" x14ac:dyDescent="0.35">
      <c r="A36" s="354"/>
      <c r="B36" s="441"/>
      <c r="C36" s="89"/>
      <c r="D36" s="72"/>
      <c r="E36" s="73"/>
      <c r="F36" s="74"/>
      <c r="G36" s="356"/>
      <c r="H36" s="356"/>
      <c r="I36" s="73"/>
      <c r="J36" s="73"/>
      <c r="K36" s="357"/>
      <c r="L36" s="358"/>
      <c r="M36" s="358"/>
      <c r="N36" s="258"/>
      <c r="O36" s="258"/>
    </row>
    <row r="37" spans="1:15" ht="14.15" customHeight="1" x14ac:dyDescent="0.3">
      <c r="A37" s="359">
        <v>2.7</v>
      </c>
      <c r="B37" s="360"/>
      <c r="C37" s="55"/>
      <c r="D37" s="58" t="s">
        <v>114</v>
      </c>
      <c r="E37" s="56"/>
      <c r="F37" s="57"/>
      <c r="G37" s="361"/>
      <c r="H37" s="361"/>
      <c r="I37" s="56"/>
      <c r="J37" s="56"/>
      <c r="K37" s="362"/>
      <c r="L37" s="363"/>
      <c r="M37" s="363"/>
      <c r="N37" s="258"/>
      <c r="O37" s="258"/>
    </row>
    <row r="38" spans="1:15" ht="28" customHeight="1" x14ac:dyDescent="0.3">
      <c r="A38" s="370" t="s">
        <v>115</v>
      </c>
      <c r="B38" s="444" t="s">
        <v>116</v>
      </c>
      <c r="C38" s="7" t="s">
        <v>90</v>
      </c>
      <c r="D38" s="7">
        <v>0</v>
      </c>
      <c r="E38" s="37">
        <f>13501.37*1.2</f>
        <v>16201.644</v>
      </c>
      <c r="F38" s="41">
        <v>0.2</v>
      </c>
      <c r="G38" s="348">
        <f>E38/(1-F38)</f>
        <v>20252.055</v>
      </c>
      <c r="H38" s="371">
        <f>250*2</f>
        <v>500</v>
      </c>
      <c r="I38" s="83">
        <v>0.15</v>
      </c>
      <c r="J38" s="79">
        <f>H38*(1+I38)</f>
        <v>575</v>
      </c>
      <c r="K38" s="349">
        <f>J38*D38</f>
        <v>0</v>
      </c>
      <c r="L38" s="350">
        <f>G38+J38</f>
        <v>20827.055</v>
      </c>
      <c r="M38" s="351">
        <f>D38*L38</f>
        <v>0</v>
      </c>
      <c r="N38" s="258"/>
      <c r="O38" s="258"/>
    </row>
    <row r="39" spans="1:15" ht="28.5" customHeight="1" thickBot="1" x14ac:dyDescent="0.35">
      <c r="A39" s="381" t="s">
        <v>117</v>
      </c>
      <c r="B39" s="446" t="s">
        <v>436</v>
      </c>
      <c r="C39" s="68" t="s">
        <v>90</v>
      </c>
      <c r="D39" s="68">
        <v>5</v>
      </c>
      <c r="E39" s="69">
        <v>2000</v>
      </c>
      <c r="F39" s="52">
        <v>0.2</v>
      </c>
      <c r="G39" s="376">
        <f>E39/(1-F39)</f>
        <v>2500</v>
      </c>
      <c r="H39" s="377">
        <f>250*2</f>
        <v>500</v>
      </c>
      <c r="I39" s="83">
        <v>0.15</v>
      </c>
      <c r="J39" s="79">
        <f>H39*(1+I39)</f>
        <v>575</v>
      </c>
      <c r="K39" s="382">
        <f>J39*D39</f>
        <v>2875</v>
      </c>
      <c r="L39" s="350">
        <f>G39+J39</f>
        <v>3075</v>
      </c>
      <c r="M39" s="378">
        <f>D39*L39</f>
        <v>15375</v>
      </c>
      <c r="N39" s="258"/>
      <c r="O39" s="258"/>
    </row>
    <row r="40" spans="1:15" ht="14.5" customHeight="1" thickBot="1" x14ac:dyDescent="0.35">
      <c r="A40" s="354"/>
      <c r="B40" s="441"/>
      <c r="C40" s="89"/>
      <c r="D40" s="72"/>
      <c r="E40" s="73"/>
      <c r="F40" s="74"/>
      <c r="G40" s="356"/>
      <c r="H40" s="356"/>
      <c r="I40" s="73"/>
      <c r="J40" s="73"/>
      <c r="K40" s="357"/>
      <c r="L40" s="358"/>
      <c r="M40" s="358"/>
      <c r="N40" s="258"/>
      <c r="O40" s="258"/>
    </row>
    <row r="41" spans="1:15" ht="16.5" customHeight="1" x14ac:dyDescent="0.3">
      <c r="A41" s="359">
        <v>2.8</v>
      </c>
      <c r="B41" s="360"/>
      <c r="C41" s="55"/>
      <c r="D41" s="58" t="s">
        <v>119</v>
      </c>
      <c r="E41" s="56"/>
      <c r="F41" s="57"/>
      <c r="G41" s="361"/>
      <c r="H41" s="361"/>
      <c r="I41" s="56"/>
      <c r="J41" s="56"/>
      <c r="K41" s="362"/>
      <c r="L41" s="363"/>
      <c r="M41" s="363"/>
      <c r="N41" s="258"/>
      <c r="O41" s="258"/>
    </row>
    <row r="42" spans="1:15" ht="16.5" customHeight="1" x14ac:dyDescent="0.3">
      <c r="A42" s="384"/>
      <c r="B42" s="342"/>
      <c r="C42" s="248"/>
      <c r="D42" s="1"/>
      <c r="E42" s="36"/>
      <c r="F42" s="41"/>
      <c r="G42" s="348"/>
      <c r="H42" s="348"/>
      <c r="I42" s="83"/>
      <c r="J42" s="79"/>
      <c r="K42" s="349"/>
      <c r="L42" s="350"/>
      <c r="M42" s="351"/>
      <c r="N42" s="258"/>
      <c r="O42" s="258"/>
    </row>
    <row r="43" spans="1:15" ht="14.15" customHeight="1" x14ac:dyDescent="0.3">
      <c r="A43" s="341" t="s">
        <v>120</v>
      </c>
      <c r="B43" s="385" t="s">
        <v>121</v>
      </c>
      <c r="C43" s="248" t="s">
        <v>85</v>
      </c>
      <c r="D43" s="1">
        <v>0</v>
      </c>
      <c r="E43" s="36">
        <v>2500</v>
      </c>
      <c r="F43" s="41">
        <v>0.2</v>
      </c>
      <c r="G43" s="348">
        <f>E43/(1-F43)</f>
        <v>3125</v>
      </c>
      <c r="H43" s="348">
        <f>(250+100)*4</f>
        <v>1400</v>
      </c>
      <c r="I43" s="83">
        <v>0.15</v>
      </c>
      <c r="J43" s="79">
        <f>H43*(1+I43)</f>
        <v>1609.9999999999998</v>
      </c>
      <c r="K43" s="349">
        <f>J43*D43</f>
        <v>0</v>
      </c>
      <c r="L43" s="350">
        <f>G43+J43</f>
        <v>4735</v>
      </c>
      <c r="M43" s="351">
        <f>D43*L43</f>
        <v>0</v>
      </c>
      <c r="N43" s="258"/>
      <c r="O43" s="258"/>
    </row>
    <row r="44" spans="1:15" ht="14.15" customHeight="1" x14ac:dyDescent="0.3">
      <c r="A44" s="341"/>
      <c r="B44" s="448"/>
      <c r="C44" s="88"/>
      <c r="D44" s="1"/>
      <c r="E44" s="36"/>
      <c r="F44" s="41"/>
      <c r="G44" s="348"/>
      <c r="H44" s="348"/>
      <c r="I44" s="79"/>
      <c r="J44" s="79"/>
      <c r="K44" s="349"/>
      <c r="L44" s="350"/>
      <c r="M44" s="351"/>
      <c r="N44" s="258"/>
      <c r="O44" s="258"/>
    </row>
    <row r="45" spans="1:15" ht="14.15" customHeight="1" x14ac:dyDescent="0.3">
      <c r="A45" s="341" t="s">
        <v>122</v>
      </c>
      <c r="B45" s="385" t="s">
        <v>123</v>
      </c>
      <c r="C45" s="248" t="s">
        <v>85</v>
      </c>
      <c r="D45" s="1">
        <f>9 + N(" 3 AC in breakers and 1 Isolator on each inverter in and out")</f>
        <v>9</v>
      </c>
      <c r="E45" s="36">
        <v>1800</v>
      </c>
      <c r="F45" s="41">
        <v>0.2</v>
      </c>
      <c r="G45" s="348">
        <f>E45/(1-F45)</f>
        <v>2250</v>
      </c>
      <c r="H45" s="348">
        <f>(250+100)*4</f>
        <v>1400</v>
      </c>
      <c r="I45" s="83">
        <v>0.15</v>
      </c>
      <c r="J45" s="79">
        <f>H45*(1+I45)</f>
        <v>1609.9999999999998</v>
      </c>
      <c r="K45" s="349">
        <f>J45*D45</f>
        <v>14489.999999999998</v>
      </c>
      <c r="L45" s="350">
        <f>G45+J45</f>
        <v>3860</v>
      </c>
      <c r="M45" s="351">
        <f>D45*L45</f>
        <v>34740</v>
      </c>
      <c r="N45" s="258"/>
      <c r="O45" s="258"/>
    </row>
    <row r="46" spans="1:15" ht="14.15" customHeight="1" x14ac:dyDescent="0.3">
      <c r="A46" s="341"/>
      <c r="B46" s="385"/>
      <c r="C46" s="248"/>
      <c r="D46" s="1"/>
      <c r="E46" s="36"/>
      <c r="F46" s="41"/>
      <c r="G46" s="348"/>
      <c r="H46" s="348"/>
      <c r="I46" s="79"/>
      <c r="J46" s="79"/>
      <c r="K46" s="349"/>
      <c r="L46" s="350"/>
      <c r="M46" s="351"/>
      <c r="N46" s="258"/>
      <c r="O46" s="258"/>
    </row>
    <row r="47" spans="1:15" ht="14.15" customHeight="1" x14ac:dyDescent="0.3">
      <c r="A47" s="341" t="s">
        <v>124</v>
      </c>
      <c r="B47" s="385" t="s">
        <v>125</v>
      </c>
      <c r="C47" s="248" t="s">
        <v>85</v>
      </c>
      <c r="D47" s="1">
        <v>6</v>
      </c>
      <c r="E47" s="36">
        <f>550*1.2</f>
        <v>660</v>
      </c>
      <c r="F47" s="41">
        <v>0.2</v>
      </c>
      <c r="G47" s="348">
        <f>E47/(1-F47)</f>
        <v>825</v>
      </c>
      <c r="H47" s="348">
        <f>(250+100)*4</f>
        <v>1400</v>
      </c>
      <c r="I47" s="83">
        <v>0.15</v>
      </c>
      <c r="J47" s="79">
        <f>H47*(1+I47)</f>
        <v>1609.9999999999998</v>
      </c>
      <c r="K47" s="349">
        <f>J47*D47</f>
        <v>9659.9999999999982</v>
      </c>
      <c r="L47" s="350">
        <f>G47+J47</f>
        <v>2435</v>
      </c>
      <c r="M47" s="351">
        <f>D47*L47</f>
        <v>14610</v>
      </c>
      <c r="N47" s="258"/>
      <c r="O47" s="258"/>
    </row>
    <row r="48" spans="1:15" ht="14.15" customHeight="1" x14ac:dyDescent="0.3">
      <c r="A48" s="341"/>
      <c r="B48" s="387"/>
      <c r="C48" s="88"/>
      <c r="D48" s="1"/>
      <c r="E48" s="36"/>
      <c r="F48" s="41"/>
      <c r="G48" s="348"/>
      <c r="H48" s="348"/>
      <c r="I48" s="79"/>
      <c r="J48" s="79"/>
      <c r="K48" s="349"/>
      <c r="L48" s="350"/>
      <c r="M48" s="351"/>
      <c r="N48" s="258"/>
      <c r="O48" s="258"/>
    </row>
    <row r="49" spans="1:15" ht="14.5" customHeight="1" thickBot="1" x14ac:dyDescent="0.35">
      <c r="A49" s="381" t="s">
        <v>126</v>
      </c>
      <c r="B49" s="388" t="s">
        <v>127</v>
      </c>
      <c r="C49" s="85" t="s">
        <v>85</v>
      </c>
      <c r="D49" s="50">
        <f>6 + N("Putting this here for some reason")</f>
        <v>6</v>
      </c>
      <c r="E49" s="51">
        <f>550*1.2</f>
        <v>660</v>
      </c>
      <c r="F49" s="52">
        <v>0.2</v>
      </c>
      <c r="G49" s="376">
        <f>E49/(1-F49)</f>
        <v>825</v>
      </c>
      <c r="H49" s="376">
        <f>(250+100)*4</f>
        <v>1400</v>
      </c>
      <c r="I49" s="83">
        <v>0.15</v>
      </c>
      <c r="J49" s="79">
        <f>H49*(1+I49)</f>
        <v>1609.9999999999998</v>
      </c>
      <c r="K49" s="349">
        <f>J49*D49</f>
        <v>9659.9999999999982</v>
      </c>
      <c r="L49" s="350">
        <f>G49+J49</f>
        <v>2435</v>
      </c>
      <c r="M49" s="378">
        <f>D49*L49</f>
        <v>14610</v>
      </c>
      <c r="N49" s="258"/>
      <c r="O49" s="258"/>
    </row>
    <row r="50" spans="1:15" ht="14.5" customHeight="1" thickBot="1" x14ac:dyDescent="0.35">
      <c r="A50" s="354"/>
      <c r="B50" s="441"/>
      <c r="C50" s="89"/>
      <c r="D50" s="72"/>
      <c r="E50" s="73"/>
      <c r="F50" s="74"/>
      <c r="G50" s="356"/>
      <c r="H50" s="356"/>
      <c r="I50" s="73"/>
      <c r="J50" s="73"/>
      <c r="K50" s="357"/>
      <c r="L50" s="358"/>
      <c r="M50" s="358"/>
      <c r="N50" s="258"/>
      <c r="O50" s="258"/>
    </row>
    <row r="51" spans="1:15" ht="16.5" customHeight="1" x14ac:dyDescent="0.3">
      <c r="A51" s="359">
        <v>2.9</v>
      </c>
      <c r="B51" s="367"/>
      <c r="C51" s="55"/>
      <c r="D51" s="58" t="s">
        <v>128</v>
      </c>
      <c r="E51" s="56"/>
      <c r="F51" s="57"/>
      <c r="G51" s="361"/>
      <c r="H51" s="361"/>
      <c r="I51" s="56"/>
      <c r="J51" s="56"/>
      <c r="K51" s="362"/>
      <c r="L51" s="363"/>
      <c r="M51" s="363"/>
      <c r="N51" s="258"/>
      <c r="O51" s="258"/>
    </row>
    <row r="52" spans="1:15" ht="16.5" customHeight="1" x14ac:dyDescent="0.3">
      <c r="A52" s="341"/>
      <c r="B52" s="342"/>
      <c r="C52" s="248"/>
      <c r="D52" s="1"/>
      <c r="E52" s="36"/>
      <c r="F52" s="41"/>
      <c r="G52" s="348"/>
      <c r="H52" s="348"/>
      <c r="I52" s="79"/>
      <c r="J52" s="79"/>
      <c r="K52" s="349"/>
      <c r="L52" s="350"/>
      <c r="M52" s="351"/>
      <c r="N52" s="258"/>
      <c r="O52" s="258"/>
    </row>
    <row r="53" spans="1:15" ht="14.15" customHeight="1" x14ac:dyDescent="0.3">
      <c r="A53" s="341" t="s">
        <v>129</v>
      </c>
      <c r="B53" s="385" t="s">
        <v>130</v>
      </c>
      <c r="C53" s="248" t="s">
        <v>85</v>
      </c>
      <c r="D53" s="1">
        <v>0</v>
      </c>
      <c r="E53" s="36">
        <v>2500</v>
      </c>
      <c r="F53" s="41">
        <v>0.2</v>
      </c>
      <c r="G53" s="348">
        <f>E53/(1-F53)</f>
        <v>3125</v>
      </c>
      <c r="H53" s="348">
        <f>250*1</f>
        <v>250</v>
      </c>
      <c r="I53" s="83">
        <v>0.15</v>
      </c>
      <c r="J53" s="79">
        <f>H53*(1+I53)</f>
        <v>287.5</v>
      </c>
      <c r="K53" s="349">
        <f>J53*D53</f>
        <v>0</v>
      </c>
      <c r="L53" s="350">
        <f>G53+J53</f>
        <v>3412.5</v>
      </c>
      <c r="M53" s="351">
        <f>D53*L53</f>
        <v>0</v>
      </c>
      <c r="N53" s="258"/>
      <c r="O53" s="258"/>
    </row>
    <row r="54" spans="1:15" ht="14.15" customHeight="1" x14ac:dyDescent="0.3">
      <c r="A54" s="341"/>
      <c r="B54" s="385"/>
      <c r="C54" s="248"/>
      <c r="D54" s="1"/>
      <c r="E54" s="36"/>
      <c r="F54" s="41"/>
      <c r="G54" s="348"/>
      <c r="H54" s="348"/>
      <c r="I54" s="79"/>
      <c r="J54" s="79"/>
      <c r="K54" s="349"/>
      <c r="L54" s="350"/>
      <c r="M54" s="351"/>
      <c r="N54" s="258"/>
      <c r="O54" s="258"/>
    </row>
    <row r="55" spans="1:15" ht="14.15" customHeight="1" x14ac:dyDescent="0.3">
      <c r="A55" s="341" t="s">
        <v>131</v>
      </c>
      <c r="B55" s="385" t="s">
        <v>132</v>
      </c>
      <c r="C55" s="248" t="s">
        <v>85</v>
      </c>
      <c r="D55" s="1">
        <v>6</v>
      </c>
      <c r="E55" s="36">
        <v>5729</v>
      </c>
      <c r="F55" s="41">
        <v>0.2</v>
      </c>
      <c r="G55" s="348">
        <f>E55/(1-F55)</f>
        <v>7161.25</v>
      </c>
      <c r="H55" s="348">
        <v>250</v>
      </c>
      <c r="I55" s="83">
        <v>0.15</v>
      </c>
      <c r="J55" s="79">
        <f>H55*(1+I55)</f>
        <v>287.5</v>
      </c>
      <c r="K55" s="349">
        <f>J55*D55</f>
        <v>1725</v>
      </c>
      <c r="L55" s="350">
        <f>G55+J55</f>
        <v>7448.75</v>
      </c>
      <c r="M55" s="351">
        <f>D55*L55</f>
        <v>44692.5</v>
      </c>
      <c r="N55" s="258"/>
      <c r="O55" s="258"/>
    </row>
    <row r="56" spans="1:15" ht="14.15" customHeight="1" x14ac:dyDescent="0.3">
      <c r="A56" s="341"/>
      <c r="B56" s="387"/>
      <c r="C56" s="88"/>
      <c r="D56" s="1"/>
      <c r="E56" s="36"/>
      <c r="F56" s="41"/>
      <c r="G56" s="348"/>
      <c r="H56" s="348"/>
      <c r="I56" s="79"/>
      <c r="J56" s="79"/>
      <c r="K56" s="349"/>
      <c r="L56" s="350"/>
      <c r="M56" s="351"/>
      <c r="N56" s="258"/>
      <c r="O56" s="258"/>
    </row>
    <row r="57" spans="1:15" ht="14.15" customHeight="1" x14ac:dyDescent="0.3">
      <c r="A57" s="341" t="s">
        <v>133</v>
      </c>
      <c r="B57" s="387" t="s">
        <v>134</v>
      </c>
      <c r="C57" s="248" t="s">
        <v>85</v>
      </c>
      <c r="D57" s="1">
        <v>6</v>
      </c>
      <c r="E57" s="36">
        <f>5729</f>
        <v>5729</v>
      </c>
      <c r="F57" s="41">
        <v>0.2</v>
      </c>
      <c r="G57" s="348">
        <f>E57/(1-F57)</f>
        <v>7161.25</v>
      </c>
      <c r="H57" s="348">
        <v>250</v>
      </c>
      <c r="I57" s="83">
        <v>0.15</v>
      </c>
      <c r="J57" s="79">
        <f>H57*(1+I57)</f>
        <v>287.5</v>
      </c>
      <c r="K57" s="349">
        <f>J57*D57</f>
        <v>1725</v>
      </c>
      <c r="L57" s="350">
        <f>G57+J57</f>
        <v>7448.75</v>
      </c>
      <c r="M57" s="351">
        <f>D57*L57</f>
        <v>44692.5</v>
      </c>
      <c r="N57" s="258"/>
      <c r="O57" s="258"/>
    </row>
    <row r="58" spans="1:15" ht="14.15" customHeight="1" x14ac:dyDescent="0.3">
      <c r="A58" s="341"/>
      <c r="B58" s="387"/>
      <c r="C58" s="248"/>
      <c r="D58" s="1"/>
      <c r="E58" s="36"/>
      <c r="F58" s="41"/>
      <c r="G58" s="348"/>
      <c r="H58" s="348"/>
      <c r="I58" s="83"/>
      <c r="J58" s="79"/>
      <c r="K58" s="349"/>
      <c r="L58" s="350"/>
      <c r="M58" s="351"/>
      <c r="N58" s="258"/>
      <c r="O58" s="258"/>
    </row>
    <row r="59" spans="1:15" ht="14.15" customHeight="1" x14ac:dyDescent="0.3">
      <c r="A59" s="341"/>
      <c r="B59" s="385" t="s">
        <v>425</v>
      </c>
      <c r="C59" s="248" t="s">
        <v>85</v>
      </c>
      <c r="D59" s="1">
        <v>3</v>
      </c>
      <c r="E59" s="36">
        <f>40000*1.2</f>
        <v>48000</v>
      </c>
      <c r="F59" s="41">
        <v>0.2</v>
      </c>
      <c r="G59" s="348">
        <f>E59/(1-F59)</f>
        <v>60000</v>
      </c>
      <c r="H59" s="348">
        <v>250</v>
      </c>
      <c r="I59" s="83">
        <v>0.15</v>
      </c>
      <c r="J59" s="79">
        <f>H59*(1+I59)</f>
        <v>287.5</v>
      </c>
      <c r="K59" s="349">
        <f>J59*D59</f>
        <v>862.5</v>
      </c>
      <c r="L59" s="350">
        <f>G59+J59</f>
        <v>60287.5</v>
      </c>
      <c r="M59" s="351">
        <f>D59*L59</f>
        <v>180862.5</v>
      </c>
      <c r="N59" s="258"/>
      <c r="O59" s="258"/>
    </row>
    <row r="60" spans="1:15" ht="14.15" customHeight="1" x14ac:dyDescent="0.3">
      <c r="A60" s="341"/>
      <c r="B60" s="387"/>
      <c r="C60" s="87"/>
      <c r="D60" s="1"/>
      <c r="E60" s="36"/>
      <c r="F60" s="41"/>
      <c r="G60" s="348"/>
      <c r="H60" s="348"/>
      <c r="I60" s="79"/>
      <c r="J60" s="79"/>
      <c r="K60" s="349"/>
      <c r="L60" s="350"/>
      <c r="M60" s="351"/>
      <c r="N60" s="258"/>
      <c r="O60" s="258"/>
    </row>
    <row r="61" spans="1:15" ht="14.15" customHeight="1" x14ac:dyDescent="0.3">
      <c r="A61" s="341"/>
      <c r="B61" s="385" t="s">
        <v>426</v>
      </c>
      <c r="C61" s="87" t="s">
        <v>427</v>
      </c>
      <c r="D61" s="1">
        <v>0</v>
      </c>
      <c r="E61" s="36">
        <v>50000</v>
      </c>
      <c r="F61" s="41">
        <v>0.2</v>
      </c>
      <c r="G61" s="348">
        <f>E61/(1-F61)</f>
        <v>62500</v>
      </c>
      <c r="H61" s="348">
        <v>250</v>
      </c>
      <c r="I61" s="83">
        <v>0.15</v>
      </c>
      <c r="J61" s="79">
        <f>H61*(1+I61)</f>
        <v>287.5</v>
      </c>
      <c r="K61" s="349">
        <f>J61*D61</f>
        <v>0</v>
      </c>
      <c r="L61" s="350">
        <f>G61+J61</f>
        <v>62787.5</v>
      </c>
      <c r="M61" s="351">
        <f>D61*L61</f>
        <v>0</v>
      </c>
      <c r="N61" s="258"/>
      <c r="O61" s="258"/>
    </row>
    <row r="62" spans="1:15" ht="14.15" customHeight="1" x14ac:dyDescent="0.3">
      <c r="A62" s="341"/>
      <c r="B62" s="387"/>
      <c r="C62" s="87"/>
      <c r="D62" s="1"/>
      <c r="E62" s="36"/>
      <c r="F62" s="41"/>
      <c r="G62" s="348"/>
      <c r="H62" s="348"/>
      <c r="I62" s="79"/>
      <c r="J62" s="79"/>
      <c r="K62" s="349"/>
      <c r="L62" s="350"/>
      <c r="M62" s="351"/>
      <c r="N62" s="258"/>
      <c r="O62" s="258"/>
    </row>
    <row r="63" spans="1:15" ht="28" customHeight="1" x14ac:dyDescent="0.3">
      <c r="A63" s="341" t="s">
        <v>135</v>
      </c>
      <c r="B63" s="385" t="s">
        <v>136</v>
      </c>
      <c r="C63" s="248" t="s">
        <v>85</v>
      </c>
      <c r="D63" s="1">
        <v>3</v>
      </c>
      <c r="E63" s="36">
        <v>350</v>
      </c>
      <c r="F63" s="41">
        <v>0.2</v>
      </c>
      <c r="G63" s="348">
        <f>E63/(1-F63)</f>
        <v>437.5</v>
      </c>
      <c r="H63" s="348">
        <v>250</v>
      </c>
      <c r="I63" s="83">
        <v>0.15</v>
      </c>
      <c r="J63" s="79">
        <f>H63*(1+I63)</f>
        <v>287.5</v>
      </c>
      <c r="K63" s="349">
        <f>J63*D63</f>
        <v>862.5</v>
      </c>
      <c r="L63" s="350">
        <f>G63+J63</f>
        <v>725</v>
      </c>
      <c r="M63" s="351">
        <f>D63*L63</f>
        <v>2175</v>
      </c>
      <c r="N63" s="258"/>
      <c r="O63" s="258"/>
    </row>
    <row r="64" spans="1:15" ht="14.15" customHeight="1" x14ac:dyDescent="0.3">
      <c r="A64" s="341"/>
      <c r="B64" s="387"/>
      <c r="C64" s="88"/>
      <c r="D64" s="1"/>
      <c r="E64" s="36"/>
      <c r="F64" s="41"/>
      <c r="G64" s="348"/>
      <c r="H64" s="348"/>
      <c r="I64" s="79"/>
      <c r="J64" s="79"/>
      <c r="K64" s="349"/>
      <c r="L64" s="350"/>
      <c r="M64" s="351"/>
      <c r="N64" s="258"/>
      <c r="O64" s="258"/>
    </row>
    <row r="65" spans="1:15" ht="14.15" customHeight="1" x14ac:dyDescent="0.3">
      <c r="A65" s="341" t="s">
        <v>137</v>
      </c>
      <c r="B65" s="385" t="s">
        <v>138</v>
      </c>
      <c r="C65" s="248" t="s">
        <v>108</v>
      </c>
      <c r="D65" s="1">
        <v>20</v>
      </c>
      <c r="E65" s="36">
        <f>35</f>
        <v>35</v>
      </c>
      <c r="F65" s="41">
        <v>0.2</v>
      </c>
      <c r="G65" s="348">
        <f>E65/(1-F65)</f>
        <v>43.75</v>
      </c>
      <c r="H65" s="348">
        <f>(65*3)</f>
        <v>195</v>
      </c>
      <c r="I65" s="83">
        <v>0.15</v>
      </c>
      <c r="J65" s="79">
        <f>H65*(1+I65)</f>
        <v>224.24999999999997</v>
      </c>
      <c r="K65" s="349">
        <f>J65*D65</f>
        <v>4484.9999999999991</v>
      </c>
      <c r="L65" s="350">
        <f>G65+J65</f>
        <v>268</v>
      </c>
      <c r="M65" s="351">
        <f>D65*L65</f>
        <v>5360</v>
      </c>
      <c r="N65" s="258"/>
      <c r="O65" s="258"/>
    </row>
    <row r="66" spans="1:15" ht="14.15" customHeight="1" x14ac:dyDescent="0.3">
      <c r="A66" s="341"/>
      <c r="B66" s="387"/>
      <c r="C66" s="87"/>
      <c r="D66" s="1"/>
      <c r="E66" s="36"/>
      <c r="F66" s="41"/>
      <c r="G66" s="348"/>
      <c r="H66" s="348"/>
      <c r="I66" s="79"/>
      <c r="J66" s="79"/>
      <c r="K66" s="349"/>
      <c r="L66" s="350"/>
      <c r="M66" s="351"/>
      <c r="N66" s="258"/>
      <c r="O66" s="258"/>
    </row>
    <row r="67" spans="1:15" ht="14.5" customHeight="1" thickBot="1" x14ac:dyDescent="0.35">
      <c r="A67" s="341" t="s">
        <v>139</v>
      </c>
      <c r="B67" s="385" t="s">
        <v>140</v>
      </c>
      <c r="C67" s="248" t="s">
        <v>42</v>
      </c>
      <c r="D67" s="1">
        <v>1</v>
      </c>
      <c r="E67" s="36">
        <v>1</v>
      </c>
      <c r="F67" s="41">
        <v>0.2</v>
      </c>
      <c r="G67" s="348">
        <f>E67/(1-F67)</f>
        <v>1.25</v>
      </c>
      <c r="H67" s="348">
        <f>2500*3</f>
        <v>7500</v>
      </c>
      <c r="I67" s="83">
        <v>0.15</v>
      </c>
      <c r="J67" s="79">
        <f>H67*(1+I67)</f>
        <v>8625</v>
      </c>
      <c r="K67" s="349">
        <f>J67*D67</f>
        <v>8625</v>
      </c>
      <c r="L67" s="350">
        <f>G67+J67</f>
        <v>8626.25</v>
      </c>
      <c r="M67" s="351">
        <f>D67*L67</f>
        <v>8626.25</v>
      </c>
      <c r="N67" s="258"/>
      <c r="O67" s="258"/>
    </row>
    <row r="68" spans="1:15" ht="14.5" customHeight="1" thickBot="1" x14ac:dyDescent="0.35">
      <c r="A68" s="354"/>
      <c r="B68" s="441"/>
      <c r="C68" s="89"/>
      <c r="D68" s="72"/>
      <c r="E68" s="73"/>
      <c r="F68" s="74"/>
      <c r="G68" s="356"/>
      <c r="H68" s="356"/>
      <c r="I68" s="73"/>
      <c r="J68" s="73"/>
      <c r="K68" s="357"/>
      <c r="L68" s="358"/>
      <c r="M68" s="358"/>
      <c r="N68" s="258"/>
      <c r="O68" s="258"/>
    </row>
    <row r="69" spans="1:15" ht="14.15" customHeight="1" x14ac:dyDescent="0.3">
      <c r="A69" s="389">
        <v>2.1</v>
      </c>
      <c r="B69" s="390"/>
      <c r="C69" s="90"/>
      <c r="D69" s="65" t="s">
        <v>141</v>
      </c>
      <c r="E69" s="53"/>
      <c r="F69" s="54"/>
      <c r="G69" s="391"/>
      <c r="H69" s="391"/>
      <c r="I69" s="53"/>
      <c r="J69" s="53"/>
      <c r="K69" s="392"/>
      <c r="L69" s="393"/>
      <c r="M69" s="393"/>
      <c r="N69" s="258"/>
      <c r="O69" s="258"/>
    </row>
    <row r="70" spans="1:15" ht="28" customHeight="1" x14ac:dyDescent="0.3">
      <c r="A70" s="370" t="s">
        <v>142</v>
      </c>
      <c r="B70" s="444" t="s">
        <v>143</v>
      </c>
      <c r="C70" s="7" t="s">
        <v>85</v>
      </c>
      <c r="D70" s="7">
        <v>5</v>
      </c>
      <c r="E70" s="37">
        <v>10000</v>
      </c>
      <c r="F70" s="41">
        <v>0.16</v>
      </c>
      <c r="G70" s="348">
        <f>E70/(1-F70)</f>
        <v>11904.761904761905</v>
      </c>
      <c r="H70" s="371">
        <v>200</v>
      </c>
      <c r="I70" s="83">
        <v>0.15</v>
      </c>
      <c r="J70" s="79">
        <f>H70*(1+I70)</f>
        <v>229.99999999999997</v>
      </c>
      <c r="K70" s="349">
        <f>J70*D70</f>
        <v>1149.9999999999998</v>
      </c>
      <c r="L70" s="350">
        <f>G70+J70</f>
        <v>12134.761904761905</v>
      </c>
      <c r="M70" s="351">
        <f>D70*L70</f>
        <v>60673.809523809527</v>
      </c>
      <c r="N70" s="258"/>
      <c r="O70" s="258"/>
    </row>
    <row r="71" spans="1:15" ht="14.15" customHeight="1" x14ac:dyDescent="0.3">
      <c r="A71" s="394"/>
      <c r="B71" s="395"/>
      <c r="C71" s="248"/>
      <c r="D71" s="248"/>
      <c r="E71" s="36"/>
      <c r="F71" s="41"/>
      <c r="G71" s="348"/>
      <c r="H71" s="348"/>
      <c r="I71" s="79"/>
      <c r="J71" s="79"/>
      <c r="K71" s="349"/>
      <c r="L71" s="350"/>
      <c r="M71" s="351"/>
      <c r="N71" s="258"/>
      <c r="O71" s="258"/>
    </row>
    <row r="72" spans="1:15" ht="28.5" customHeight="1" thickBot="1" x14ac:dyDescent="0.35">
      <c r="A72" s="396" t="s">
        <v>144</v>
      </c>
      <c r="B72" s="446" t="s">
        <v>145</v>
      </c>
      <c r="C72" s="68" t="s">
        <v>85</v>
      </c>
      <c r="D72" s="68">
        <v>5</v>
      </c>
      <c r="E72" s="69">
        <v>7500</v>
      </c>
      <c r="F72" s="52">
        <v>0.16</v>
      </c>
      <c r="G72" s="376">
        <f>E72/(1-F72)</f>
        <v>8928.5714285714294</v>
      </c>
      <c r="H72" s="377">
        <v>200</v>
      </c>
      <c r="I72" s="83">
        <v>0.15</v>
      </c>
      <c r="J72" s="79">
        <f>H72*(1+I72)</f>
        <v>229.99999999999997</v>
      </c>
      <c r="K72" s="382">
        <f>J72*D72</f>
        <v>1149.9999999999998</v>
      </c>
      <c r="L72" s="350">
        <f>G72+J72</f>
        <v>9158.5714285714294</v>
      </c>
      <c r="M72" s="378">
        <f>D72*L72</f>
        <v>45792.857142857145</v>
      </c>
      <c r="N72" s="258"/>
      <c r="O72" s="258"/>
    </row>
    <row r="73" spans="1:15" ht="14.5" customHeight="1" thickBot="1" x14ac:dyDescent="0.35">
      <c r="A73" s="397"/>
      <c r="B73" s="449"/>
      <c r="C73" s="89"/>
      <c r="D73" s="72"/>
      <c r="E73" s="73"/>
      <c r="F73" s="74"/>
      <c r="G73" s="356"/>
      <c r="H73" s="356"/>
      <c r="I73" s="73"/>
      <c r="J73" s="73"/>
      <c r="K73" s="357"/>
      <c r="L73" s="358"/>
      <c r="M73" s="358"/>
      <c r="N73" s="258"/>
      <c r="O73" s="258"/>
    </row>
    <row r="74" spans="1:15" ht="14.15" customHeight="1" x14ac:dyDescent="0.3">
      <c r="A74" s="359">
        <v>2.11</v>
      </c>
      <c r="B74" s="450"/>
      <c r="C74" s="91"/>
      <c r="D74" s="58" t="s">
        <v>146</v>
      </c>
      <c r="E74" s="56"/>
      <c r="F74" s="57"/>
      <c r="G74" s="361"/>
      <c r="H74" s="361"/>
      <c r="I74" s="56"/>
      <c r="J74" s="56"/>
      <c r="K74" s="362"/>
      <c r="L74" s="363"/>
      <c r="M74" s="363"/>
      <c r="N74" s="258"/>
      <c r="O74" s="258"/>
    </row>
    <row r="75" spans="1:15" ht="14.15" customHeight="1" x14ac:dyDescent="0.3">
      <c r="A75" s="341"/>
      <c r="B75" s="444"/>
      <c r="C75" s="92"/>
      <c r="D75" s="1"/>
      <c r="E75" s="36"/>
      <c r="F75" s="41"/>
      <c r="G75" s="348"/>
      <c r="H75" s="348"/>
      <c r="I75" s="79"/>
      <c r="J75" s="79"/>
      <c r="K75" s="349"/>
      <c r="L75" s="350"/>
      <c r="M75" s="351"/>
      <c r="N75" s="258"/>
      <c r="O75" s="258"/>
    </row>
    <row r="76" spans="1:15" ht="14.15" customHeight="1" x14ac:dyDescent="0.3">
      <c r="A76" s="341"/>
      <c r="B76" s="443" t="s">
        <v>147</v>
      </c>
      <c r="C76" s="88"/>
      <c r="D76" s="1"/>
      <c r="E76" s="36"/>
      <c r="F76" s="41"/>
      <c r="G76" s="348"/>
      <c r="H76" s="348"/>
      <c r="I76" s="79"/>
      <c r="J76" s="79"/>
      <c r="K76" s="349"/>
      <c r="L76" s="350"/>
      <c r="M76" s="351"/>
      <c r="N76" s="258"/>
      <c r="O76" s="258"/>
    </row>
    <row r="77" spans="1:15" ht="14.15" customHeight="1" x14ac:dyDescent="0.3">
      <c r="A77" s="341"/>
      <c r="B77" s="448"/>
      <c r="C77" s="88"/>
      <c r="D77" s="1"/>
      <c r="E77" s="36"/>
      <c r="F77" s="41"/>
      <c r="G77" s="348"/>
      <c r="H77" s="348"/>
      <c r="I77" s="79"/>
      <c r="J77" s="79"/>
      <c r="K77" s="349"/>
      <c r="L77" s="350"/>
      <c r="M77" s="351"/>
      <c r="N77" s="258"/>
      <c r="O77" s="258"/>
    </row>
    <row r="78" spans="1:15" ht="42" customHeight="1" x14ac:dyDescent="0.3">
      <c r="A78" s="341"/>
      <c r="B78" s="448" t="s">
        <v>148</v>
      </c>
      <c r="C78" s="88"/>
      <c r="D78" s="248"/>
      <c r="E78" s="36"/>
      <c r="F78" s="41"/>
      <c r="G78" s="348"/>
      <c r="H78" s="348"/>
      <c r="I78" s="79"/>
      <c r="J78" s="79"/>
      <c r="K78" s="349"/>
      <c r="L78" s="350"/>
      <c r="M78" s="351"/>
      <c r="N78" s="258"/>
      <c r="O78" s="258"/>
    </row>
    <row r="79" spans="1:15" ht="14.15" customHeight="1" x14ac:dyDescent="0.3">
      <c r="A79" s="384"/>
      <c r="B79" s="443"/>
      <c r="C79" s="88"/>
      <c r="D79" s="1"/>
      <c r="E79" s="36"/>
      <c r="F79" s="41"/>
      <c r="G79" s="348"/>
      <c r="H79" s="400"/>
      <c r="I79" s="81"/>
      <c r="J79" s="81"/>
      <c r="K79" s="349"/>
      <c r="L79" s="350"/>
      <c r="M79" s="351"/>
      <c r="N79" s="258"/>
      <c r="O79" s="258"/>
    </row>
    <row r="80" spans="1:15" ht="14.15" customHeight="1" x14ac:dyDescent="0.3">
      <c r="A80" s="384"/>
      <c r="B80" s="443" t="s">
        <v>282</v>
      </c>
      <c r="C80" s="88" t="s">
        <v>108</v>
      </c>
      <c r="D80" s="1">
        <v>0</v>
      </c>
      <c r="E80" s="36">
        <v>1520</v>
      </c>
      <c r="F80" s="41">
        <v>0.25</v>
      </c>
      <c r="G80" s="348">
        <f t="shared" ref="G80:G86" si="0">E80/(1-F80)</f>
        <v>2026.6666666666667</v>
      </c>
      <c r="H80" s="348">
        <v>25</v>
      </c>
      <c r="I80" s="83">
        <v>0.15</v>
      </c>
      <c r="J80" s="79">
        <f t="shared" ref="J80:J86" si="1">H80*(1+I80)</f>
        <v>28.749999999999996</v>
      </c>
      <c r="K80" s="349">
        <f t="shared" ref="K80:K86" si="2">J80*D80</f>
        <v>0</v>
      </c>
      <c r="L80" s="350">
        <f t="shared" ref="L80:L86" si="3">G80+J80</f>
        <v>2055.4166666666665</v>
      </c>
      <c r="M80" s="351">
        <f t="shared" ref="M80:M86" si="4">D80*L80</f>
        <v>0</v>
      </c>
      <c r="N80" s="258"/>
      <c r="O80" s="258"/>
    </row>
    <row r="81" spans="1:15" ht="14.15" customHeight="1" x14ac:dyDescent="0.3">
      <c r="A81" s="341" t="s">
        <v>149</v>
      </c>
      <c r="B81" s="443" t="s">
        <v>150</v>
      </c>
      <c r="C81" s="88" t="s">
        <v>108</v>
      </c>
      <c r="D81" s="1">
        <f>10 + N("2m per AC in for inverters")</f>
        <v>10</v>
      </c>
      <c r="E81" s="36">
        <v>947.75</v>
      </c>
      <c r="F81" s="41">
        <v>0.25</v>
      </c>
      <c r="G81" s="348">
        <f t="shared" si="0"/>
        <v>1263.6666666666667</v>
      </c>
      <c r="H81" s="348">
        <v>25</v>
      </c>
      <c r="I81" s="83">
        <v>0.15</v>
      </c>
      <c r="J81" s="79">
        <f t="shared" si="1"/>
        <v>28.749999999999996</v>
      </c>
      <c r="K81" s="349">
        <f t="shared" si="2"/>
        <v>287.49999999999994</v>
      </c>
      <c r="L81" s="350">
        <f t="shared" si="3"/>
        <v>1292.4166666666667</v>
      </c>
      <c r="M81" s="351">
        <f t="shared" si="4"/>
        <v>12924.166666666668</v>
      </c>
      <c r="N81" s="258"/>
      <c r="O81" s="258"/>
    </row>
    <row r="82" spans="1:15" ht="14.15" customHeight="1" x14ac:dyDescent="0.3">
      <c r="A82" s="341" t="s">
        <v>151</v>
      </c>
      <c r="B82" s="443" t="s">
        <v>152</v>
      </c>
      <c r="C82" s="88" t="s">
        <v>108</v>
      </c>
      <c r="D82" s="1">
        <v>0</v>
      </c>
      <c r="E82" s="36">
        <v>686.12</v>
      </c>
      <c r="F82" s="41">
        <v>0.25</v>
      </c>
      <c r="G82" s="348">
        <f t="shared" si="0"/>
        <v>914.82666666666671</v>
      </c>
      <c r="H82" s="348">
        <v>25</v>
      </c>
      <c r="I82" s="83">
        <v>0.15</v>
      </c>
      <c r="J82" s="79">
        <f t="shared" si="1"/>
        <v>28.749999999999996</v>
      </c>
      <c r="K82" s="349">
        <f t="shared" si="2"/>
        <v>0</v>
      </c>
      <c r="L82" s="350">
        <f t="shared" si="3"/>
        <v>943.57666666666671</v>
      </c>
      <c r="M82" s="351">
        <f t="shared" si="4"/>
        <v>0</v>
      </c>
      <c r="N82" s="258"/>
      <c r="O82" s="258"/>
    </row>
    <row r="83" spans="1:15" ht="14.15" customHeight="1" x14ac:dyDescent="0.3">
      <c r="A83" s="341" t="s">
        <v>153</v>
      </c>
      <c r="B83" s="443" t="s">
        <v>154</v>
      </c>
      <c r="C83" s="88" t="s">
        <v>108</v>
      </c>
      <c r="D83" s="1">
        <v>0</v>
      </c>
      <c r="E83" s="36">
        <v>538.9</v>
      </c>
      <c r="F83" s="41">
        <v>0.25</v>
      </c>
      <c r="G83" s="348">
        <f t="shared" si="0"/>
        <v>718.5333333333333</v>
      </c>
      <c r="H83" s="348">
        <v>25</v>
      </c>
      <c r="I83" s="83">
        <v>0.15</v>
      </c>
      <c r="J83" s="79">
        <f t="shared" si="1"/>
        <v>28.749999999999996</v>
      </c>
      <c r="K83" s="349">
        <f t="shared" si="2"/>
        <v>0</v>
      </c>
      <c r="L83" s="350">
        <f t="shared" si="3"/>
        <v>747.2833333333333</v>
      </c>
      <c r="M83" s="351">
        <f t="shared" si="4"/>
        <v>0</v>
      </c>
      <c r="N83" s="258"/>
      <c r="O83" s="258"/>
    </row>
    <row r="84" spans="1:15" ht="14.15" customHeight="1" x14ac:dyDescent="0.3">
      <c r="A84" s="341" t="s">
        <v>155</v>
      </c>
      <c r="B84" s="443" t="s">
        <v>156</v>
      </c>
      <c r="C84" s="87" t="s">
        <v>108</v>
      </c>
      <c r="D84" s="1">
        <v>0</v>
      </c>
      <c r="E84" s="36">
        <v>450</v>
      </c>
      <c r="F84" s="41">
        <v>0.25</v>
      </c>
      <c r="G84" s="348">
        <f t="shared" si="0"/>
        <v>600</v>
      </c>
      <c r="H84" s="348">
        <v>25</v>
      </c>
      <c r="I84" s="83">
        <v>0.15</v>
      </c>
      <c r="J84" s="79">
        <f t="shared" si="1"/>
        <v>28.749999999999996</v>
      </c>
      <c r="K84" s="349">
        <f t="shared" si="2"/>
        <v>0</v>
      </c>
      <c r="L84" s="350">
        <f t="shared" si="3"/>
        <v>628.75</v>
      </c>
      <c r="M84" s="351">
        <f t="shared" si="4"/>
        <v>0</v>
      </c>
      <c r="N84" s="258"/>
      <c r="O84" s="258"/>
    </row>
    <row r="85" spans="1:15" ht="14.15" customHeight="1" x14ac:dyDescent="0.3">
      <c r="A85" s="341" t="s">
        <v>157</v>
      </c>
      <c r="B85" s="443" t="s">
        <v>158</v>
      </c>
      <c r="C85" s="87" t="s">
        <v>108</v>
      </c>
      <c r="D85" s="1">
        <f>60 + N("3 sub DB's, 20m each")</f>
        <v>60</v>
      </c>
      <c r="E85" s="36">
        <v>380</v>
      </c>
      <c r="F85" s="41">
        <v>0.25</v>
      </c>
      <c r="G85" s="348">
        <f t="shared" si="0"/>
        <v>506.66666666666669</v>
      </c>
      <c r="H85" s="348">
        <v>25</v>
      </c>
      <c r="I85" s="83">
        <v>0.15</v>
      </c>
      <c r="J85" s="79">
        <f t="shared" si="1"/>
        <v>28.749999999999996</v>
      </c>
      <c r="K85" s="349">
        <f t="shared" si="2"/>
        <v>1724.9999999999998</v>
      </c>
      <c r="L85" s="350">
        <f t="shared" si="3"/>
        <v>535.41666666666663</v>
      </c>
      <c r="M85" s="351">
        <f t="shared" si="4"/>
        <v>32124.999999999996</v>
      </c>
      <c r="N85" s="258"/>
      <c r="O85" s="258"/>
    </row>
    <row r="86" spans="1:15" ht="14.5" customHeight="1" thickBot="1" x14ac:dyDescent="0.35">
      <c r="A86" s="381" t="s">
        <v>159</v>
      </c>
      <c r="B86" s="446" t="s">
        <v>160</v>
      </c>
      <c r="C86" s="86" t="s">
        <v>108</v>
      </c>
      <c r="D86" s="50">
        <v>0</v>
      </c>
      <c r="E86" s="51">
        <f>215</f>
        <v>215</v>
      </c>
      <c r="F86" s="52">
        <v>0.25</v>
      </c>
      <c r="G86" s="376">
        <f t="shared" si="0"/>
        <v>286.66666666666669</v>
      </c>
      <c r="H86" s="376">
        <v>25</v>
      </c>
      <c r="I86" s="83">
        <v>0.15</v>
      </c>
      <c r="J86" s="79">
        <f t="shared" si="1"/>
        <v>28.749999999999996</v>
      </c>
      <c r="K86" s="349">
        <f t="shared" si="2"/>
        <v>0</v>
      </c>
      <c r="L86" s="350">
        <f t="shared" si="3"/>
        <v>315.41666666666669</v>
      </c>
      <c r="M86" s="378">
        <f t="shared" si="4"/>
        <v>0</v>
      </c>
      <c r="N86" s="258"/>
      <c r="O86" s="258"/>
    </row>
    <row r="87" spans="1:15" ht="14.5" customHeight="1" thickBot="1" x14ac:dyDescent="0.35">
      <c r="A87" s="397"/>
      <c r="B87" s="449"/>
      <c r="C87" s="89"/>
      <c r="D87" s="72"/>
      <c r="E87" s="73"/>
      <c r="F87" s="74"/>
      <c r="G87" s="356"/>
      <c r="H87" s="356"/>
      <c r="I87" s="73"/>
      <c r="J87" s="73"/>
      <c r="K87" s="357"/>
      <c r="L87" s="358"/>
      <c r="M87" s="358"/>
      <c r="N87" s="258"/>
      <c r="O87" s="258"/>
    </row>
    <row r="88" spans="1:15" ht="14.15" customHeight="1" x14ac:dyDescent="0.3">
      <c r="A88" s="359">
        <v>2.12</v>
      </c>
      <c r="B88" s="450"/>
      <c r="C88" s="91"/>
      <c r="D88" s="58" t="s">
        <v>161</v>
      </c>
      <c r="E88" s="56"/>
      <c r="F88" s="57"/>
      <c r="G88" s="361"/>
      <c r="H88" s="361"/>
      <c r="I88" s="56"/>
      <c r="J88" s="56"/>
      <c r="K88" s="362"/>
      <c r="L88" s="363"/>
      <c r="M88" s="363"/>
      <c r="N88" s="258"/>
      <c r="O88" s="258"/>
    </row>
    <row r="89" spans="1:15" ht="14.15" customHeight="1" x14ac:dyDescent="0.3">
      <c r="A89" s="341"/>
      <c r="B89" s="444"/>
      <c r="C89" s="87"/>
      <c r="D89" s="1"/>
      <c r="E89" s="36"/>
      <c r="F89" s="41"/>
      <c r="G89" s="348"/>
      <c r="H89" s="348"/>
      <c r="I89" s="79"/>
      <c r="J89" s="79"/>
      <c r="K89" s="349"/>
      <c r="L89" s="350"/>
      <c r="M89" s="351"/>
      <c r="N89" s="258"/>
      <c r="O89" s="258"/>
    </row>
    <row r="90" spans="1:15" ht="14.15" customHeight="1" x14ac:dyDescent="0.3">
      <c r="A90" s="341" t="s">
        <v>162</v>
      </c>
      <c r="B90" s="443" t="s">
        <v>163</v>
      </c>
      <c r="C90" s="87" t="s">
        <v>108</v>
      </c>
      <c r="D90" s="1">
        <v>0</v>
      </c>
      <c r="E90" s="36">
        <v>109.45</v>
      </c>
      <c r="F90" s="41">
        <v>0.2</v>
      </c>
      <c r="G90" s="348">
        <f>E90/(1-F90)</f>
        <v>136.8125</v>
      </c>
      <c r="H90" s="348">
        <v>50</v>
      </c>
      <c r="I90" s="83">
        <v>0.15</v>
      </c>
      <c r="J90" s="79">
        <f>H90*(1+I90)</f>
        <v>57.499999999999993</v>
      </c>
      <c r="K90" s="349">
        <f>J90*D90</f>
        <v>0</v>
      </c>
      <c r="L90" s="350">
        <f>G90+J90</f>
        <v>194.3125</v>
      </c>
      <c r="M90" s="351">
        <f>D90*L90</f>
        <v>0</v>
      </c>
      <c r="N90" s="258"/>
      <c r="O90" s="258"/>
    </row>
    <row r="91" spans="1:15" ht="14.15" customHeight="1" x14ac:dyDescent="0.3">
      <c r="A91" s="341"/>
      <c r="B91" s="443" t="s">
        <v>164</v>
      </c>
      <c r="C91" s="87" t="s">
        <v>108</v>
      </c>
      <c r="D91" s="1">
        <v>80</v>
      </c>
      <c r="E91" s="36">
        <v>70.599999999999994</v>
      </c>
      <c r="F91" s="41">
        <v>0.2</v>
      </c>
      <c r="G91" s="348">
        <f>E91/(1-F91)</f>
        <v>88.249999999999986</v>
      </c>
      <c r="H91" s="348">
        <v>50</v>
      </c>
      <c r="I91" s="83">
        <v>0.15</v>
      </c>
      <c r="J91" s="79">
        <f>H91*(1+I91)</f>
        <v>57.499999999999993</v>
      </c>
      <c r="K91" s="349">
        <f>J91*D91</f>
        <v>4599.9999999999991</v>
      </c>
      <c r="L91" s="350">
        <f>G91+J91</f>
        <v>145.74999999999997</v>
      </c>
      <c r="M91" s="351">
        <f>D91*L91</f>
        <v>11659.999999999998</v>
      </c>
      <c r="N91" s="258"/>
      <c r="O91" s="258"/>
    </row>
    <row r="92" spans="1:15" ht="14.5" customHeight="1" thickBot="1" x14ac:dyDescent="0.35">
      <c r="A92" s="381"/>
      <c r="B92" s="446" t="s">
        <v>165</v>
      </c>
      <c r="C92" s="86" t="s">
        <v>108</v>
      </c>
      <c r="D92" s="50">
        <v>80</v>
      </c>
      <c r="E92" s="51">
        <v>22.91</v>
      </c>
      <c r="F92" s="52">
        <v>0.2</v>
      </c>
      <c r="G92" s="376">
        <f>E92/(1-F92)</f>
        <v>28.637499999999999</v>
      </c>
      <c r="H92" s="376">
        <v>50</v>
      </c>
      <c r="I92" s="83">
        <v>0.15</v>
      </c>
      <c r="J92" s="79">
        <f>H92*(1+I92)</f>
        <v>57.499999999999993</v>
      </c>
      <c r="K92" s="349">
        <f>J92*D92</f>
        <v>4599.9999999999991</v>
      </c>
      <c r="L92" s="350">
        <f>G92+J92</f>
        <v>86.137499999999989</v>
      </c>
      <c r="M92" s="378">
        <f>D92*L92</f>
        <v>6890.9999999999991</v>
      </c>
      <c r="N92" s="258"/>
      <c r="O92" s="258"/>
    </row>
    <row r="93" spans="1:15" ht="14.5" customHeight="1" thickBot="1" x14ac:dyDescent="0.35">
      <c r="A93" s="397"/>
      <c r="B93" s="449"/>
      <c r="C93" s="89"/>
      <c r="D93" s="72"/>
      <c r="E93" s="73"/>
      <c r="F93" s="74"/>
      <c r="G93" s="356"/>
      <c r="H93" s="356"/>
      <c r="I93" s="73"/>
      <c r="J93" s="73"/>
      <c r="K93" s="357"/>
      <c r="L93" s="358"/>
      <c r="M93" s="358"/>
      <c r="N93" s="258"/>
      <c r="O93" s="258"/>
    </row>
    <row r="94" spans="1:15" ht="14.15" customHeight="1" x14ac:dyDescent="0.3">
      <c r="A94" s="359">
        <v>2.13</v>
      </c>
      <c r="B94" s="450"/>
      <c r="C94" s="91"/>
      <c r="D94" s="58" t="s">
        <v>166</v>
      </c>
      <c r="E94" s="56"/>
      <c r="F94" s="57"/>
      <c r="G94" s="361"/>
      <c r="H94" s="361"/>
      <c r="I94" s="56"/>
      <c r="J94" s="56"/>
      <c r="K94" s="362"/>
      <c r="L94" s="363"/>
      <c r="M94" s="363"/>
      <c r="N94" s="258"/>
      <c r="O94" s="258"/>
    </row>
    <row r="95" spans="1:15" ht="14.15" customHeight="1" x14ac:dyDescent="0.3">
      <c r="A95" s="341"/>
      <c r="B95" s="444"/>
      <c r="C95" s="87"/>
      <c r="D95" s="1"/>
      <c r="E95" s="36"/>
      <c r="F95" s="41"/>
      <c r="G95" s="348"/>
      <c r="H95" s="348"/>
      <c r="I95" s="79"/>
      <c r="J95" s="79"/>
      <c r="K95" s="349"/>
      <c r="L95" s="350"/>
      <c r="M95" s="351"/>
      <c r="N95" s="258"/>
      <c r="O95" s="258"/>
    </row>
    <row r="96" spans="1:15" ht="14.15" customHeight="1" x14ac:dyDescent="0.3">
      <c r="A96" s="341" t="s">
        <v>167</v>
      </c>
      <c r="B96" s="443" t="s">
        <v>168</v>
      </c>
      <c r="C96" s="87" t="s">
        <v>108</v>
      </c>
      <c r="D96" s="1">
        <v>20</v>
      </c>
      <c r="E96" s="36">
        <v>25</v>
      </c>
      <c r="F96" s="41">
        <v>0.2</v>
      </c>
      <c r="G96" s="348">
        <f>E96/(1-F96)</f>
        <v>31.25</v>
      </c>
      <c r="H96" s="348"/>
      <c r="I96" s="83">
        <v>0.15</v>
      </c>
      <c r="J96" s="79">
        <f>H96*(1+I96)</f>
        <v>0</v>
      </c>
      <c r="K96" s="349">
        <f>J96*D96</f>
        <v>0</v>
      </c>
      <c r="L96" s="350">
        <f>G96+J96</f>
        <v>31.25</v>
      </c>
      <c r="M96" s="351">
        <f>D96*L96</f>
        <v>625</v>
      </c>
      <c r="N96" s="258"/>
      <c r="O96" s="258"/>
    </row>
    <row r="97" spans="1:15" ht="14.15" customHeight="1" x14ac:dyDescent="0.3">
      <c r="A97" s="341" t="s">
        <v>169</v>
      </c>
      <c r="B97" s="443" t="s">
        <v>170</v>
      </c>
      <c r="C97" s="87" t="s">
        <v>108</v>
      </c>
      <c r="D97" s="1">
        <v>20</v>
      </c>
      <c r="E97" s="36">
        <v>33</v>
      </c>
      <c r="F97" s="41">
        <v>0.2</v>
      </c>
      <c r="G97" s="348">
        <f>E97/(1-F97)</f>
        <v>41.25</v>
      </c>
      <c r="H97" s="348"/>
      <c r="I97" s="83">
        <v>0.15</v>
      </c>
      <c r="J97" s="79">
        <f>H97*(1+I97)</f>
        <v>0</v>
      </c>
      <c r="K97" s="349">
        <f>J97*D97</f>
        <v>0</v>
      </c>
      <c r="L97" s="350">
        <f>G97+J97</f>
        <v>41.25</v>
      </c>
      <c r="M97" s="351">
        <f>D97*L97</f>
        <v>825</v>
      </c>
      <c r="N97" s="258"/>
      <c r="O97" s="258"/>
    </row>
    <row r="98" spans="1:15" ht="14.5" customHeight="1" thickBot="1" x14ac:dyDescent="0.35">
      <c r="A98" s="341" t="s">
        <v>171</v>
      </c>
      <c r="B98" s="451" t="s">
        <v>172</v>
      </c>
      <c r="C98" s="29" t="s">
        <v>108</v>
      </c>
      <c r="D98" s="1">
        <v>0</v>
      </c>
      <c r="E98" s="36">
        <v>37</v>
      </c>
      <c r="F98" s="41">
        <v>0.2</v>
      </c>
      <c r="G98" s="348">
        <f>E98/(1-F98)</f>
        <v>46.25</v>
      </c>
      <c r="H98" s="348"/>
      <c r="I98" s="83">
        <v>0.15</v>
      </c>
      <c r="J98" s="79">
        <f>H98*(1+I98)</f>
        <v>0</v>
      </c>
      <c r="K98" s="349">
        <f>J98*D98</f>
        <v>0</v>
      </c>
      <c r="L98" s="350">
        <f>G98+J98</f>
        <v>46.25</v>
      </c>
      <c r="M98" s="351">
        <f>D98*L98</f>
        <v>0</v>
      </c>
      <c r="N98" s="258"/>
      <c r="O98" s="258"/>
    </row>
    <row r="99" spans="1:15" ht="14.5" customHeight="1" thickBot="1" x14ac:dyDescent="0.35">
      <c r="A99" s="397"/>
      <c r="B99" s="449"/>
      <c r="C99" s="71"/>
      <c r="D99" s="72"/>
      <c r="E99" s="73"/>
      <c r="F99" s="74"/>
      <c r="G99" s="356"/>
      <c r="H99" s="356"/>
      <c r="I99" s="73"/>
      <c r="J99" s="73"/>
      <c r="K99" s="357"/>
      <c r="L99" s="358"/>
      <c r="M99" s="358"/>
      <c r="N99" s="258"/>
      <c r="O99" s="258"/>
    </row>
    <row r="100" spans="1:15" s="297" customFormat="1" ht="14.15" customHeight="1" x14ac:dyDescent="0.3">
      <c r="A100" s="402">
        <v>2.14</v>
      </c>
      <c r="B100" s="452"/>
      <c r="C100" s="78"/>
      <c r="D100" s="65" t="s">
        <v>173</v>
      </c>
      <c r="E100" s="53"/>
      <c r="F100" s="54"/>
      <c r="G100" s="391"/>
      <c r="H100" s="391"/>
      <c r="I100" s="53"/>
      <c r="J100" s="53"/>
      <c r="K100" s="392"/>
      <c r="L100" s="393"/>
      <c r="M100" s="393"/>
      <c r="N100" s="258"/>
      <c r="O100" s="258"/>
    </row>
    <row r="101" spans="1:15" s="297" customFormat="1" ht="14.15" customHeight="1" x14ac:dyDescent="0.3">
      <c r="A101" s="341"/>
      <c r="B101" s="444"/>
      <c r="C101" s="29"/>
      <c r="D101" s="1"/>
      <c r="E101" s="36"/>
      <c r="F101" s="41"/>
      <c r="G101" s="348"/>
      <c r="H101" s="348"/>
      <c r="I101" s="79"/>
      <c r="J101" s="79"/>
      <c r="K101" s="349"/>
      <c r="L101" s="350"/>
      <c r="M101" s="351"/>
      <c r="N101" s="258"/>
      <c r="O101" s="258"/>
    </row>
    <row r="102" spans="1:15" s="297" customFormat="1" ht="28" customHeight="1" x14ac:dyDescent="0.3">
      <c r="A102" s="341"/>
      <c r="B102" s="443" t="s">
        <v>174</v>
      </c>
      <c r="C102" s="29"/>
      <c r="D102" s="1"/>
      <c r="E102" s="36"/>
      <c r="F102" s="41"/>
      <c r="G102" s="348"/>
      <c r="H102" s="348"/>
      <c r="I102" s="79"/>
      <c r="J102" s="79"/>
      <c r="K102" s="349"/>
      <c r="L102" s="350"/>
      <c r="M102" s="351"/>
      <c r="N102" s="258"/>
      <c r="O102" s="258"/>
    </row>
    <row r="103" spans="1:15" s="297" customFormat="1" ht="14.15" customHeight="1" x14ac:dyDescent="0.3">
      <c r="A103" s="384"/>
      <c r="B103" s="443"/>
      <c r="C103" s="29"/>
      <c r="D103" s="1"/>
      <c r="E103" s="36"/>
      <c r="F103" s="41"/>
      <c r="G103" s="348"/>
      <c r="H103" s="348"/>
      <c r="I103" s="79"/>
      <c r="J103" s="79"/>
      <c r="K103" s="349"/>
      <c r="L103" s="350"/>
      <c r="M103" s="351"/>
      <c r="N103" s="258"/>
      <c r="O103" s="258"/>
    </row>
    <row r="104" spans="1:15" s="297" customFormat="1" ht="14.15" customHeight="1" x14ac:dyDescent="0.3">
      <c r="A104" s="384"/>
      <c r="B104" s="443" t="s">
        <v>282</v>
      </c>
      <c r="C104" s="29" t="s">
        <v>85</v>
      </c>
      <c r="D104" s="1">
        <v>0</v>
      </c>
      <c r="E104" s="36">
        <f>1100*1.1</f>
        <v>1210</v>
      </c>
      <c r="F104" s="41">
        <v>0.2</v>
      </c>
      <c r="G104" s="348">
        <f t="shared" ref="G104:G116" si="5">E104/(1-F104)</f>
        <v>1512.5</v>
      </c>
      <c r="H104" s="348">
        <f>(250+100)*1.5</f>
        <v>525</v>
      </c>
      <c r="I104" s="83">
        <v>0.15</v>
      </c>
      <c r="J104" s="79">
        <f t="shared" ref="J104:J116" si="6">H104*(1+I104)</f>
        <v>603.75</v>
      </c>
      <c r="K104" s="349">
        <f t="shared" ref="K104:K116" si="7">J104*D104</f>
        <v>0</v>
      </c>
      <c r="L104" s="350">
        <f t="shared" ref="L104:L116" si="8">G104+J104</f>
        <v>2116.25</v>
      </c>
      <c r="M104" s="351">
        <f t="shared" ref="M104:M116" si="9">D104*L104</f>
        <v>0</v>
      </c>
      <c r="N104" s="258"/>
      <c r="O104" s="258"/>
    </row>
    <row r="105" spans="1:15" s="297" customFormat="1" ht="14.15" customHeight="1" x14ac:dyDescent="0.3">
      <c r="A105" s="341" t="s">
        <v>175</v>
      </c>
      <c r="B105" s="443" t="s">
        <v>150</v>
      </c>
      <c r="C105" s="29" t="s">
        <v>85</v>
      </c>
      <c r="D105" s="1">
        <v>12</v>
      </c>
      <c r="E105" s="36">
        <f>752.54*1.1</f>
        <v>827.79399999999998</v>
      </c>
      <c r="F105" s="41">
        <v>0.2</v>
      </c>
      <c r="G105" s="348">
        <f t="shared" si="5"/>
        <v>1034.7424999999998</v>
      </c>
      <c r="H105" s="348">
        <f>(250+100)*1.5</f>
        <v>525</v>
      </c>
      <c r="I105" s="83">
        <v>0.15</v>
      </c>
      <c r="J105" s="79">
        <f t="shared" si="6"/>
        <v>603.75</v>
      </c>
      <c r="K105" s="349">
        <f t="shared" si="7"/>
        <v>7245</v>
      </c>
      <c r="L105" s="350">
        <f t="shared" si="8"/>
        <v>1638.4924999999998</v>
      </c>
      <c r="M105" s="351">
        <f t="shared" si="9"/>
        <v>19661.909999999996</v>
      </c>
      <c r="N105" s="258"/>
      <c r="O105" s="258"/>
    </row>
    <row r="106" spans="1:15" s="297" customFormat="1" ht="14.15" customHeight="1" x14ac:dyDescent="0.3">
      <c r="A106" s="341"/>
      <c r="B106" s="443" t="s">
        <v>428</v>
      </c>
      <c r="C106" s="29" t="s">
        <v>85</v>
      </c>
      <c r="D106" s="1">
        <v>24</v>
      </c>
      <c r="E106" s="36">
        <v>500</v>
      </c>
      <c r="F106" s="41">
        <v>0.2</v>
      </c>
      <c r="G106" s="348">
        <f t="shared" si="5"/>
        <v>625</v>
      </c>
      <c r="H106" s="348">
        <f>(250+100)*1.5</f>
        <v>525</v>
      </c>
      <c r="I106" s="83">
        <v>0.15</v>
      </c>
      <c r="J106" s="79">
        <f t="shared" si="6"/>
        <v>603.75</v>
      </c>
      <c r="K106" s="349">
        <f t="shared" si="7"/>
        <v>14490</v>
      </c>
      <c r="L106" s="350">
        <f t="shared" si="8"/>
        <v>1228.75</v>
      </c>
      <c r="M106" s="351">
        <f t="shared" si="9"/>
        <v>29490</v>
      </c>
      <c r="N106" s="258"/>
      <c r="O106" s="258"/>
    </row>
    <row r="107" spans="1:15" s="297" customFormat="1" ht="14.15" customHeight="1" x14ac:dyDescent="0.3">
      <c r="A107" s="341" t="s">
        <v>176</v>
      </c>
      <c r="B107" s="443" t="s">
        <v>177</v>
      </c>
      <c r="C107" s="29" t="s">
        <v>85</v>
      </c>
      <c r="D107" s="1">
        <v>0</v>
      </c>
      <c r="E107" s="36">
        <f>350*1.1</f>
        <v>385.00000000000006</v>
      </c>
      <c r="F107" s="41">
        <v>0.2</v>
      </c>
      <c r="G107" s="348">
        <f t="shared" si="5"/>
        <v>481.25000000000006</v>
      </c>
      <c r="H107" s="348">
        <f>(250+100)*1.5</f>
        <v>525</v>
      </c>
      <c r="I107" s="83">
        <v>0.15</v>
      </c>
      <c r="J107" s="79">
        <f t="shared" si="6"/>
        <v>603.75</v>
      </c>
      <c r="K107" s="349">
        <f t="shared" si="7"/>
        <v>0</v>
      </c>
      <c r="L107" s="350">
        <f t="shared" si="8"/>
        <v>1085</v>
      </c>
      <c r="M107" s="351">
        <f t="shared" si="9"/>
        <v>0</v>
      </c>
      <c r="N107" s="258"/>
      <c r="O107" s="258"/>
    </row>
    <row r="108" spans="1:15" s="297" customFormat="1" ht="14.15" customHeight="1" x14ac:dyDescent="0.3">
      <c r="A108" s="341" t="s">
        <v>178</v>
      </c>
      <c r="B108" s="443" t="s">
        <v>437</v>
      </c>
      <c r="C108" s="29" t="s">
        <v>85</v>
      </c>
      <c r="D108" s="1">
        <v>24</v>
      </c>
      <c r="E108" s="36">
        <v>300</v>
      </c>
      <c r="F108" s="41">
        <v>0.2</v>
      </c>
      <c r="G108" s="348">
        <f t="shared" si="5"/>
        <v>375</v>
      </c>
      <c r="H108" s="348">
        <f>(250+100)*1.5</f>
        <v>525</v>
      </c>
      <c r="I108" s="83">
        <v>0.15</v>
      </c>
      <c r="J108" s="79">
        <f t="shared" si="6"/>
        <v>603.75</v>
      </c>
      <c r="K108" s="349">
        <f t="shared" si="7"/>
        <v>14490</v>
      </c>
      <c r="L108" s="350">
        <f t="shared" si="8"/>
        <v>978.75</v>
      </c>
      <c r="M108" s="351">
        <f t="shared" si="9"/>
        <v>23490</v>
      </c>
      <c r="N108" s="258"/>
      <c r="O108" s="258"/>
    </row>
    <row r="109" spans="1:15" s="297" customFormat="1" ht="14.15" customHeight="1" x14ac:dyDescent="0.3">
      <c r="A109" s="341" t="s">
        <v>179</v>
      </c>
      <c r="B109" s="443" t="s">
        <v>154</v>
      </c>
      <c r="C109" s="29" t="s">
        <v>85</v>
      </c>
      <c r="D109" s="1">
        <v>0</v>
      </c>
      <c r="E109" s="36">
        <v>350</v>
      </c>
      <c r="F109" s="41">
        <v>0.2</v>
      </c>
      <c r="G109" s="348">
        <f t="shared" si="5"/>
        <v>437.5</v>
      </c>
      <c r="H109" s="348">
        <v>525</v>
      </c>
      <c r="I109" s="83">
        <v>0.15</v>
      </c>
      <c r="J109" s="79">
        <f t="shared" si="6"/>
        <v>603.75</v>
      </c>
      <c r="K109" s="349">
        <f t="shared" si="7"/>
        <v>0</v>
      </c>
      <c r="L109" s="350">
        <f t="shared" si="8"/>
        <v>1041.25</v>
      </c>
      <c r="M109" s="351">
        <f t="shared" si="9"/>
        <v>0</v>
      </c>
      <c r="N109" s="258"/>
      <c r="O109" s="258"/>
    </row>
    <row r="110" spans="1:15" s="297" customFormat="1" ht="14.5" customHeight="1" x14ac:dyDescent="0.3">
      <c r="A110" s="341" t="s">
        <v>180</v>
      </c>
      <c r="B110" s="443" t="s">
        <v>156</v>
      </c>
      <c r="C110" s="29" t="s">
        <v>85</v>
      </c>
      <c r="D110" s="1">
        <v>0</v>
      </c>
      <c r="E110" s="36"/>
      <c r="F110" s="41"/>
      <c r="G110" s="348">
        <f t="shared" si="5"/>
        <v>0</v>
      </c>
      <c r="H110" s="348">
        <v>525</v>
      </c>
      <c r="I110" s="83">
        <v>0.15</v>
      </c>
      <c r="J110" s="79">
        <f t="shared" si="6"/>
        <v>603.75</v>
      </c>
      <c r="K110" s="349">
        <f t="shared" si="7"/>
        <v>0</v>
      </c>
      <c r="L110" s="350">
        <f t="shared" si="8"/>
        <v>603.75</v>
      </c>
      <c r="M110" s="351">
        <f t="shared" si="9"/>
        <v>0</v>
      </c>
      <c r="N110" s="258"/>
      <c r="O110" s="258"/>
    </row>
    <row r="111" spans="1:15" s="297" customFormat="1" ht="14.15" customHeight="1" x14ac:dyDescent="0.3">
      <c r="A111" s="341" t="s">
        <v>181</v>
      </c>
      <c r="B111" s="443" t="s">
        <v>158</v>
      </c>
      <c r="C111" s="29" t="s">
        <v>85</v>
      </c>
      <c r="D111" s="1">
        <v>26</v>
      </c>
      <c r="E111" s="36">
        <v>350</v>
      </c>
      <c r="F111" s="41">
        <v>0.2</v>
      </c>
      <c r="G111" s="348">
        <f t="shared" si="5"/>
        <v>437.5</v>
      </c>
      <c r="H111" s="348">
        <v>525</v>
      </c>
      <c r="I111" s="83">
        <v>0.15</v>
      </c>
      <c r="J111" s="79">
        <f t="shared" si="6"/>
        <v>603.75</v>
      </c>
      <c r="K111" s="349">
        <f t="shared" si="7"/>
        <v>15697.5</v>
      </c>
      <c r="L111" s="350">
        <f t="shared" si="8"/>
        <v>1041.25</v>
      </c>
      <c r="M111" s="351">
        <f t="shared" si="9"/>
        <v>27072.5</v>
      </c>
      <c r="N111" s="258"/>
      <c r="O111" s="258"/>
    </row>
    <row r="112" spans="1:15" s="297" customFormat="1" ht="14.15" customHeight="1" x14ac:dyDescent="0.3">
      <c r="A112" s="341" t="s">
        <v>182</v>
      </c>
      <c r="B112" s="443" t="s">
        <v>160</v>
      </c>
      <c r="C112" s="29" t="s">
        <v>85</v>
      </c>
      <c r="D112" s="1">
        <v>0</v>
      </c>
      <c r="E112" s="36">
        <v>350</v>
      </c>
      <c r="F112" s="41">
        <v>0.2</v>
      </c>
      <c r="G112" s="348">
        <f t="shared" si="5"/>
        <v>437.5</v>
      </c>
      <c r="H112" s="348">
        <v>525</v>
      </c>
      <c r="I112" s="83">
        <v>0.15</v>
      </c>
      <c r="J112" s="79">
        <f t="shared" si="6"/>
        <v>603.75</v>
      </c>
      <c r="K112" s="349">
        <f t="shared" si="7"/>
        <v>0</v>
      </c>
      <c r="L112" s="350">
        <f t="shared" si="8"/>
        <v>1041.25</v>
      </c>
      <c r="M112" s="351">
        <f t="shared" si="9"/>
        <v>0</v>
      </c>
      <c r="N112" s="258"/>
      <c r="O112" s="258"/>
    </row>
    <row r="113" spans="1:15" s="297" customFormat="1" ht="14.15" customHeight="1" x14ac:dyDescent="0.3">
      <c r="A113" s="341" t="s">
        <v>183</v>
      </c>
      <c r="B113" s="443" t="s">
        <v>184</v>
      </c>
      <c r="C113" s="29" t="s">
        <v>85</v>
      </c>
      <c r="D113" s="1">
        <v>0</v>
      </c>
      <c r="E113" s="36"/>
      <c r="F113" s="41"/>
      <c r="G113" s="348">
        <f t="shared" si="5"/>
        <v>0</v>
      </c>
      <c r="H113" s="348">
        <v>525</v>
      </c>
      <c r="I113" s="83">
        <v>0.15</v>
      </c>
      <c r="J113" s="79">
        <f t="shared" si="6"/>
        <v>603.75</v>
      </c>
      <c r="K113" s="349">
        <f t="shared" si="7"/>
        <v>0</v>
      </c>
      <c r="L113" s="350">
        <f t="shared" si="8"/>
        <v>603.75</v>
      </c>
      <c r="M113" s="351">
        <f t="shared" si="9"/>
        <v>0</v>
      </c>
      <c r="N113" s="258"/>
      <c r="O113" s="258"/>
    </row>
    <row r="114" spans="1:15" s="297" customFormat="1" ht="14.15" customHeight="1" x14ac:dyDescent="0.3">
      <c r="A114" s="341" t="s">
        <v>185</v>
      </c>
      <c r="B114" s="443" t="s">
        <v>186</v>
      </c>
      <c r="C114" s="29" t="s">
        <v>85</v>
      </c>
      <c r="D114" s="1">
        <v>0</v>
      </c>
      <c r="E114" s="36">
        <v>250</v>
      </c>
      <c r="F114" s="41">
        <v>0.2</v>
      </c>
      <c r="G114" s="348">
        <f t="shared" si="5"/>
        <v>312.5</v>
      </c>
      <c r="H114" s="348">
        <v>525</v>
      </c>
      <c r="I114" s="83">
        <v>0.15</v>
      </c>
      <c r="J114" s="79">
        <f t="shared" si="6"/>
        <v>603.75</v>
      </c>
      <c r="K114" s="349">
        <f t="shared" si="7"/>
        <v>0</v>
      </c>
      <c r="L114" s="350">
        <f t="shared" si="8"/>
        <v>916.25</v>
      </c>
      <c r="M114" s="351">
        <f t="shared" si="9"/>
        <v>0</v>
      </c>
      <c r="N114" s="258"/>
      <c r="O114" s="258"/>
    </row>
    <row r="115" spans="1:15" s="297" customFormat="1" ht="14.15" customHeight="1" x14ac:dyDescent="0.3">
      <c r="A115" s="341" t="s">
        <v>187</v>
      </c>
      <c r="B115" s="443" t="s">
        <v>188</v>
      </c>
      <c r="C115" s="29" t="s">
        <v>85</v>
      </c>
      <c r="D115" s="1">
        <v>0</v>
      </c>
      <c r="E115" s="36">
        <v>500</v>
      </c>
      <c r="F115" s="41">
        <v>0.2</v>
      </c>
      <c r="G115" s="348">
        <f t="shared" si="5"/>
        <v>625</v>
      </c>
      <c r="H115" s="348">
        <v>525</v>
      </c>
      <c r="I115" s="83">
        <v>0.15</v>
      </c>
      <c r="J115" s="79">
        <f t="shared" si="6"/>
        <v>603.75</v>
      </c>
      <c r="K115" s="349">
        <f t="shared" si="7"/>
        <v>0</v>
      </c>
      <c r="L115" s="350">
        <f t="shared" si="8"/>
        <v>1228.75</v>
      </c>
      <c r="M115" s="351">
        <f t="shared" si="9"/>
        <v>0</v>
      </c>
      <c r="N115" s="258"/>
      <c r="O115" s="258"/>
    </row>
    <row r="116" spans="1:15" s="297" customFormat="1" ht="14.5" customHeight="1" thickBot="1" x14ac:dyDescent="0.35">
      <c r="A116" s="381" t="s">
        <v>189</v>
      </c>
      <c r="B116" s="446" t="s">
        <v>190</v>
      </c>
      <c r="C116" s="76" t="s">
        <v>85</v>
      </c>
      <c r="D116" s="50">
        <v>0</v>
      </c>
      <c r="E116" s="51">
        <v>500</v>
      </c>
      <c r="F116" s="52">
        <v>0.2</v>
      </c>
      <c r="G116" s="376">
        <f t="shared" si="5"/>
        <v>625</v>
      </c>
      <c r="H116" s="376">
        <v>525</v>
      </c>
      <c r="I116" s="84">
        <v>0.15</v>
      </c>
      <c r="J116" s="80">
        <f t="shared" si="6"/>
        <v>603.75</v>
      </c>
      <c r="K116" s="382">
        <f t="shared" si="7"/>
        <v>0</v>
      </c>
      <c r="L116" s="350">
        <f t="shared" si="8"/>
        <v>1228.75</v>
      </c>
      <c r="M116" s="378">
        <f t="shared" si="9"/>
        <v>0</v>
      </c>
      <c r="N116" s="258"/>
      <c r="O116" s="258"/>
    </row>
    <row r="117" spans="1:15" s="297" customFormat="1" ht="14.5" customHeight="1" thickBot="1" x14ac:dyDescent="0.35">
      <c r="A117" s="404"/>
      <c r="B117" s="453"/>
      <c r="C117" s="29"/>
      <c r="D117" s="1"/>
      <c r="E117" s="36"/>
      <c r="F117" s="41"/>
      <c r="G117" s="348"/>
      <c r="H117" s="348"/>
      <c r="I117" s="79"/>
      <c r="J117" s="79"/>
      <c r="K117" s="406"/>
      <c r="L117" s="350"/>
      <c r="M117" s="351"/>
      <c r="N117" s="258"/>
      <c r="O117" s="258"/>
    </row>
    <row r="118" spans="1:15" ht="14.15" customHeight="1" x14ac:dyDescent="0.3">
      <c r="A118" s="359">
        <v>2.15</v>
      </c>
      <c r="B118" s="450"/>
      <c r="C118" s="75"/>
      <c r="D118" s="58" t="s">
        <v>191</v>
      </c>
      <c r="E118" s="56"/>
      <c r="F118" s="57"/>
      <c r="G118" s="361"/>
      <c r="H118" s="361"/>
      <c r="I118" s="56"/>
      <c r="J118" s="56"/>
      <c r="K118" s="362"/>
      <c r="L118" s="363"/>
      <c r="M118" s="363"/>
      <c r="N118" s="258"/>
      <c r="O118" s="258"/>
    </row>
    <row r="119" spans="1:15" ht="14.15" customHeight="1" x14ac:dyDescent="0.3">
      <c r="A119" s="341"/>
      <c r="B119" s="444"/>
      <c r="C119" s="29"/>
      <c r="D119" s="1"/>
      <c r="E119" s="36"/>
      <c r="F119" s="41"/>
      <c r="G119" s="348"/>
      <c r="H119" s="348"/>
      <c r="I119" s="79"/>
      <c r="J119" s="79"/>
      <c r="K119" s="349"/>
      <c r="L119" s="350"/>
      <c r="M119" s="351"/>
      <c r="N119" s="258"/>
      <c r="O119" s="258"/>
    </row>
    <row r="120" spans="1:15" ht="28" customHeight="1" x14ac:dyDescent="0.3">
      <c r="A120" s="341"/>
      <c r="B120" s="443" t="s">
        <v>192</v>
      </c>
      <c r="C120" s="29"/>
      <c r="D120" s="1"/>
      <c r="E120" s="36"/>
      <c r="F120" s="41"/>
      <c r="G120" s="348"/>
      <c r="H120" s="348"/>
      <c r="I120" s="79"/>
      <c r="J120" s="79"/>
      <c r="K120" s="349"/>
      <c r="L120" s="350"/>
      <c r="M120" s="351"/>
      <c r="N120" s="258"/>
      <c r="O120" s="258"/>
    </row>
    <row r="121" spans="1:15" ht="14.15" customHeight="1" x14ac:dyDescent="0.3">
      <c r="A121" s="384"/>
      <c r="B121" s="443"/>
      <c r="C121" s="29"/>
      <c r="D121" s="1"/>
      <c r="E121" s="36"/>
      <c r="F121" s="41"/>
      <c r="G121" s="348"/>
      <c r="H121" s="348"/>
      <c r="I121" s="79"/>
      <c r="J121" s="79"/>
      <c r="K121" s="349"/>
      <c r="L121" s="350"/>
      <c r="M121" s="351"/>
      <c r="N121" s="258"/>
      <c r="O121" s="258"/>
    </row>
    <row r="122" spans="1:15" ht="14.15" customHeight="1" x14ac:dyDescent="0.3">
      <c r="A122" s="341" t="s">
        <v>193</v>
      </c>
      <c r="B122" s="443" t="s">
        <v>194</v>
      </c>
      <c r="C122" s="29" t="s">
        <v>108</v>
      </c>
      <c r="D122" s="1">
        <v>0</v>
      </c>
      <c r="E122" s="36">
        <f>132*(15+10+10)</f>
        <v>4620</v>
      </c>
      <c r="F122" s="41">
        <v>0.2</v>
      </c>
      <c r="G122" s="348">
        <f>E122/(1-F122)</f>
        <v>5775</v>
      </c>
      <c r="H122" s="348">
        <f>9*(15+10+10)</f>
        <v>315</v>
      </c>
      <c r="I122" s="83">
        <v>0.15</v>
      </c>
      <c r="J122" s="79">
        <f>H122*(1+I122)</f>
        <v>362.25</v>
      </c>
      <c r="K122" s="349">
        <f>J122*D122</f>
        <v>0</v>
      </c>
      <c r="L122" s="350">
        <f>G122+J122</f>
        <v>6137.25</v>
      </c>
      <c r="M122" s="351">
        <f>D122*L122</f>
        <v>0</v>
      </c>
      <c r="N122" s="258"/>
      <c r="O122" s="258"/>
    </row>
    <row r="123" spans="1:15" ht="14.5" customHeight="1" thickBot="1" x14ac:dyDescent="0.35">
      <c r="A123" s="381" t="s">
        <v>195</v>
      </c>
      <c r="B123" s="446" t="s">
        <v>196</v>
      </c>
      <c r="C123" s="76" t="s">
        <v>108</v>
      </c>
      <c r="D123" s="50">
        <v>250</v>
      </c>
      <c r="E123" s="51">
        <f>30</f>
        <v>30</v>
      </c>
      <c r="F123" s="52">
        <v>0.2</v>
      </c>
      <c r="G123" s="376">
        <f>E123/(1-F123)</f>
        <v>37.5</v>
      </c>
      <c r="H123" s="376">
        <f>15</f>
        <v>15</v>
      </c>
      <c r="I123" s="84">
        <v>0.15</v>
      </c>
      <c r="J123" s="80">
        <f>H123*(1+I123)</f>
        <v>17.25</v>
      </c>
      <c r="K123" s="382">
        <f>J123*D123</f>
        <v>4312.5</v>
      </c>
      <c r="L123" s="407">
        <f>G123+J123</f>
        <v>54.75</v>
      </c>
      <c r="M123" s="378">
        <f>D123*L123</f>
        <v>13687.5</v>
      </c>
      <c r="N123" s="258"/>
      <c r="O123" s="258"/>
    </row>
    <row r="124" spans="1:15" ht="14.5" customHeight="1" thickBot="1" x14ac:dyDescent="0.35">
      <c r="A124" s="258"/>
      <c r="B124" s="453"/>
      <c r="C124" s="29"/>
      <c r="D124" s="1"/>
      <c r="E124" s="36"/>
      <c r="F124" s="41"/>
      <c r="G124" s="348"/>
      <c r="H124" s="348"/>
      <c r="I124" s="79"/>
      <c r="J124" s="79"/>
      <c r="K124" s="406"/>
      <c r="L124" s="350"/>
      <c r="M124" s="351"/>
      <c r="N124" s="258"/>
      <c r="O124" s="258"/>
    </row>
    <row r="125" spans="1:15" ht="14.15" customHeight="1" x14ac:dyDescent="0.3">
      <c r="A125" s="359">
        <v>2.16</v>
      </c>
      <c r="B125" s="450"/>
      <c r="C125" s="75"/>
      <c r="D125" s="58" t="s">
        <v>197</v>
      </c>
      <c r="E125" s="56"/>
      <c r="F125" s="57"/>
      <c r="G125" s="361"/>
      <c r="H125" s="361"/>
      <c r="I125" s="56"/>
      <c r="J125" s="56"/>
      <c r="K125" s="362"/>
      <c r="L125" s="363"/>
      <c r="M125" s="363"/>
      <c r="N125" s="258"/>
      <c r="O125" s="258"/>
    </row>
    <row r="126" spans="1:15" ht="14.15" customHeight="1" x14ac:dyDescent="0.3">
      <c r="A126" s="341"/>
      <c r="B126" s="444"/>
      <c r="C126" s="29"/>
      <c r="D126" s="1"/>
      <c r="E126" s="36"/>
      <c r="F126" s="41"/>
      <c r="G126" s="348"/>
      <c r="H126" s="348"/>
      <c r="I126" s="79"/>
      <c r="J126" s="79"/>
      <c r="K126" s="349"/>
      <c r="L126" s="350"/>
      <c r="M126" s="351"/>
      <c r="N126" s="258"/>
      <c r="O126" s="258"/>
    </row>
    <row r="127" spans="1:15" ht="28.5" customHeight="1" thickBot="1" x14ac:dyDescent="0.35">
      <c r="A127" s="381" t="s">
        <v>198</v>
      </c>
      <c r="B127" s="446" t="s">
        <v>199</v>
      </c>
      <c r="C127" s="86" t="s">
        <v>108</v>
      </c>
      <c r="D127" s="50">
        <v>10</v>
      </c>
      <c r="E127" s="51">
        <v>5</v>
      </c>
      <c r="F127" s="52">
        <v>0.2</v>
      </c>
      <c r="G127" s="376">
        <f>E127/(1-F127)</f>
        <v>6.25</v>
      </c>
      <c r="H127" s="376">
        <f>(100*3)</f>
        <v>300</v>
      </c>
      <c r="I127" s="84">
        <v>0.15</v>
      </c>
      <c r="J127" s="80">
        <f>H127*(1+I127)</f>
        <v>345</v>
      </c>
      <c r="K127" s="382">
        <f>J127*D127</f>
        <v>3450</v>
      </c>
      <c r="L127" s="407">
        <f>G127+J127</f>
        <v>351.25</v>
      </c>
      <c r="M127" s="378">
        <f>D127*L127</f>
        <v>3512.5</v>
      </c>
      <c r="N127" s="258"/>
      <c r="O127" s="258"/>
    </row>
    <row r="128" spans="1:15" ht="13.4" customHeight="1" thickBot="1" x14ac:dyDescent="0.35">
      <c r="A128" s="404"/>
      <c r="B128" s="453"/>
      <c r="C128" s="87"/>
      <c r="D128" s="1"/>
      <c r="E128" s="36"/>
      <c r="F128" s="41"/>
      <c r="G128" s="348"/>
      <c r="H128" s="348"/>
      <c r="I128" s="79"/>
      <c r="J128" s="79"/>
      <c r="K128" s="406"/>
      <c r="L128" s="350"/>
      <c r="M128" s="351"/>
      <c r="N128" s="258"/>
      <c r="O128" s="258"/>
    </row>
    <row r="129" spans="1:15" ht="14.15" customHeight="1" x14ac:dyDescent="0.3">
      <c r="A129" s="359">
        <v>2.17</v>
      </c>
      <c r="B129" s="450"/>
      <c r="C129" s="91"/>
      <c r="D129" s="58" t="s">
        <v>200</v>
      </c>
      <c r="E129" s="56"/>
      <c r="F129" s="57"/>
      <c r="G129" s="361"/>
      <c r="H129" s="361"/>
      <c r="I129" s="56"/>
      <c r="J129" s="56"/>
      <c r="K129" s="362"/>
      <c r="L129" s="363"/>
      <c r="M129" s="363"/>
      <c r="N129" s="258"/>
      <c r="O129" s="258"/>
    </row>
    <row r="130" spans="1:15" ht="14.15" customHeight="1" x14ac:dyDescent="0.3">
      <c r="A130" s="341"/>
      <c r="B130" s="454"/>
      <c r="C130" s="87"/>
      <c r="D130" s="1"/>
      <c r="E130" s="36"/>
      <c r="F130" s="41"/>
      <c r="G130" s="348"/>
      <c r="H130" s="348"/>
      <c r="I130" s="79"/>
      <c r="J130" s="79"/>
      <c r="K130" s="349"/>
      <c r="L130" s="350"/>
      <c r="M130" s="351"/>
      <c r="N130" s="258"/>
      <c r="O130" s="258"/>
    </row>
    <row r="131" spans="1:15" ht="14.15" customHeight="1" x14ac:dyDescent="0.3">
      <c r="A131" s="341"/>
      <c r="B131" s="443" t="s">
        <v>201</v>
      </c>
      <c r="C131" s="87"/>
      <c r="D131" s="1"/>
      <c r="E131" s="36"/>
      <c r="F131" s="41"/>
      <c r="G131" s="348"/>
      <c r="H131" s="348"/>
      <c r="I131" s="79"/>
      <c r="J131" s="79"/>
      <c r="K131" s="349"/>
      <c r="L131" s="350"/>
      <c r="M131" s="351"/>
      <c r="N131" s="258"/>
      <c r="O131" s="258"/>
    </row>
    <row r="132" spans="1:15" ht="14.15" customHeight="1" x14ac:dyDescent="0.3">
      <c r="A132" s="384"/>
      <c r="B132" s="455"/>
      <c r="C132" s="87"/>
      <c r="D132" s="1"/>
      <c r="E132" s="36"/>
      <c r="F132" s="41"/>
      <c r="G132" s="348"/>
      <c r="H132" s="348"/>
      <c r="I132" s="79"/>
      <c r="J132" s="79"/>
      <c r="K132" s="349"/>
      <c r="L132" s="350"/>
      <c r="M132" s="351"/>
      <c r="N132" s="258"/>
      <c r="O132" s="258"/>
    </row>
    <row r="133" spans="1:15" ht="28" customHeight="1" x14ac:dyDescent="0.3">
      <c r="A133" s="341" t="s">
        <v>202</v>
      </c>
      <c r="B133" s="443" t="s">
        <v>203</v>
      </c>
      <c r="C133" s="87" t="s">
        <v>42</v>
      </c>
      <c r="D133" s="1">
        <v>0</v>
      </c>
      <c r="E133" s="36"/>
      <c r="F133" s="41">
        <v>0.2</v>
      </c>
      <c r="G133" s="348">
        <f>E133/(1-F133)</f>
        <v>0</v>
      </c>
      <c r="H133" s="348">
        <f>140*(20+60+200)</f>
        <v>39200</v>
      </c>
      <c r="I133" s="83">
        <v>0.15</v>
      </c>
      <c r="J133" s="79">
        <f>H133*(1+I133)</f>
        <v>45080</v>
      </c>
      <c r="K133" s="349">
        <f>J133*D133</f>
        <v>0</v>
      </c>
      <c r="L133" s="350">
        <f>G133+J133</f>
        <v>45080</v>
      </c>
      <c r="M133" s="351">
        <f>D133*L133</f>
        <v>0</v>
      </c>
      <c r="N133" s="258"/>
      <c r="O133" s="258"/>
    </row>
    <row r="134" spans="1:15" s="297" customFormat="1" ht="28" customHeight="1" x14ac:dyDescent="0.3">
      <c r="A134" s="341" t="s">
        <v>204</v>
      </c>
      <c r="B134" s="443" t="s">
        <v>205</v>
      </c>
      <c r="C134" s="87" t="s">
        <v>42</v>
      </c>
      <c r="D134" s="1">
        <v>0</v>
      </c>
      <c r="E134" s="36"/>
      <c r="F134" s="41">
        <v>0.2</v>
      </c>
      <c r="G134" s="348">
        <f>E134/(1-F134)</f>
        <v>0</v>
      </c>
      <c r="H134" s="348">
        <f>140*(20+60+200)</f>
        <v>39200</v>
      </c>
      <c r="I134" s="83">
        <v>0.15</v>
      </c>
      <c r="J134" s="79">
        <f>H134*(1+I134)</f>
        <v>45080</v>
      </c>
      <c r="K134" s="349">
        <f>J134*D134</f>
        <v>0</v>
      </c>
      <c r="L134" s="350">
        <f>G134+J134</f>
        <v>45080</v>
      </c>
      <c r="M134" s="351">
        <f>D134*L134</f>
        <v>0</v>
      </c>
      <c r="N134" s="258"/>
      <c r="O134" s="258"/>
    </row>
    <row r="135" spans="1:15" s="297" customFormat="1" ht="14.15" customHeight="1" x14ac:dyDescent="0.3">
      <c r="A135" s="341" t="s">
        <v>206</v>
      </c>
      <c r="B135" s="443" t="s">
        <v>207</v>
      </c>
      <c r="C135" s="87" t="s">
        <v>42</v>
      </c>
      <c r="D135" s="1">
        <v>0</v>
      </c>
      <c r="E135" s="36">
        <f>35*(50+50)</f>
        <v>3500</v>
      </c>
      <c r="F135" s="41">
        <v>0.2</v>
      </c>
      <c r="G135" s="348">
        <f>E135/(1-F135)</f>
        <v>4375</v>
      </c>
      <c r="H135" s="348">
        <f>5*(50+50+50)</f>
        <v>750</v>
      </c>
      <c r="I135" s="83">
        <v>0.15</v>
      </c>
      <c r="J135" s="79">
        <f>H135*(1+I135)</f>
        <v>862.49999999999989</v>
      </c>
      <c r="K135" s="349">
        <f>J135*D135</f>
        <v>0</v>
      </c>
      <c r="L135" s="350">
        <f>G135+J135</f>
        <v>5237.5</v>
      </c>
      <c r="M135" s="351">
        <f>D135*L135</f>
        <v>0</v>
      </c>
      <c r="N135" s="258"/>
      <c r="O135" s="258"/>
    </row>
    <row r="136" spans="1:15" s="297" customFormat="1" ht="14.5" customHeight="1" thickBot="1" x14ac:dyDescent="0.35">
      <c r="A136" s="381" t="s">
        <v>208</v>
      </c>
      <c r="B136" s="446" t="s">
        <v>209</v>
      </c>
      <c r="C136" s="86" t="s">
        <v>42</v>
      </c>
      <c r="D136" s="50">
        <v>0</v>
      </c>
      <c r="E136" s="51">
        <f>4500*3</f>
        <v>13500</v>
      </c>
      <c r="F136" s="52">
        <v>0.2</v>
      </c>
      <c r="G136" s="376">
        <f>E136/(1-F136)</f>
        <v>16875</v>
      </c>
      <c r="H136" s="376">
        <v>5</v>
      </c>
      <c r="I136" s="84">
        <v>0.15</v>
      </c>
      <c r="J136" s="80">
        <f>H136*(1+I136)</f>
        <v>5.75</v>
      </c>
      <c r="K136" s="382">
        <f>J136*D136</f>
        <v>0</v>
      </c>
      <c r="L136" s="407">
        <f>G136+J136</f>
        <v>16880.75</v>
      </c>
      <c r="M136" s="378">
        <f>D136*L136</f>
        <v>0</v>
      </c>
      <c r="N136" s="258"/>
      <c r="O136" s="258"/>
    </row>
    <row r="137" spans="1:15" s="297" customFormat="1" ht="14.5" customHeight="1" thickBot="1" x14ac:dyDescent="0.35">
      <c r="A137" s="404"/>
      <c r="B137" s="456"/>
      <c r="C137" s="1"/>
      <c r="D137" s="1"/>
      <c r="E137" s="36"/>
      <c r="F137" s="41"/>
      <c r="G137" s="348"/>
      <c r="H137" s="348"/>
      <c r="I137" s="79"/>
      <c r="J137" s="79"/>
      <c r="K137" s="406"/>
      <c r="L137" s="350"/>
      <c r="M137" s="351"/>
      <c r="N137" s="258"/>
      <c r="O137" s="258"/>
    </row>
    <row r="138" spans="1:15" s="297" customFormat="1" ht="14.15" customHeight="1" x14ac:dyDescent="0.3">
      <c r="A138" s="359">
        <v>2.1800000000000002</v>
      </c>
      <c r="B138" s="450"/>
      <c r="C138" s="91"/>
      <c r="D138" s="55" t="s">
        <v>210</v>
      </c>
      <c r="E138" s="56"/>
      <c r="F138" s="57"/>
      <c r="G138" s="361"/>
      <c r="H138" s="361"/>
      <c r="I138" s="56"/>
      <c r="J138" s="56"/>
      <c r="K138" s="362"/>
      <c r="L138" s="363"/>
      <c r="M138" s="363"/>
      <c r="N138" s="258"/>
      <c r="O138" s="258"/>
    </row>
    <row r="139" spans="1:15" s="297" customFormat="1" ht="14.15" customHeight="1" x14ac:dyDescent="0.3">
      <c r="A139" s="341"/>
      <c r="B139" s="454"/>
      <c r="C139" s="87"/>
      <c r="D139" s="1"/>
      <c r="E139" s="36"/>
      <c r="F139" s="41"/>
      <c r="G139" s="348"/>
      <c r="H139" s="348"/>
      <c r="I139" s="79"/>
      <c r="J139" s="79"/>
      <c r="K139" s="349"/>
      <c r="L139" s="350"/>
      <c r="M139" s="351"/>
      <c r="N139" s="258"/>
      <c r="O139" s="258"/>
    </row>
    <row r="140" spans="1:15" s="297" customFormat="1" ht="14.15" customHeight="1" x14ac:dyDescent="0.3">
      <c r="A140" s="341" t="s">
        <v>211</v>
      </c>
      <c r="B140" s="443" t="s">
        <v>243</v>
      </c>
      <c r="C140" s="87" t="s">
        <v>42</v>
      </c>
      <c r="D140" s="1">
        <v>0</v>
      </c>
      <c r="E140" s="36">
        <v>10000</v>
      </c>
      <c r="F140" s="41">
        <v>0.2</v>
      </c>
      <c r="G140" s="348">
        <f>E140/(1-F140)</f>
        <v>12500</v>
      </c>
      <c r="H140" s="348">
        <f>2500*3</f>
        <v>7500</v>
      </c>
      <c r="I140" s="79"/>
      <c r="J140" s="79"/>
      <c r="K140" s="349">
        <f>H140*D140</f>
        <v>0</v>
      </c>
      <c r="L140" s="350">
        <f>G140+J140</f>
        <v>12500</v>
      </c>
      <c r="M140" s="351">
        <f>D140*L140</f>
        <v>0</v>
      </c>
      <c r="N140" s="258"/>
      <c r="O140" s="258"/>
    </row>
    <row r="141" spans="1:15" s="297" customFormat="1" ht="14.5" customHeight="1" thickBot="1" x14ac:dyDescent="0.35">
      <c r="A141" s="381"/>
      <c r="B141" s="411"/>
      <c r="C141" s="50"/>
      <c r="D141" s="50"/>
      <c r="E141" s="51"/>
      <c r="F141" s="52"/>
      <c r="G141" s="376"/>
      <c r="H141" s="376"/>
      <c r="I141" s="80"/>
      <c r="J141" s="80"/>
      <c r="K141" s="382">
        <f>H141*D141</f>
        <v>0</v>
      </c>
      <c r="L141" s="412"/>
      <c r="M141" s="378"/>
      <c r="N141" s="258"/>
      <c r="O141" s="258"/>
    </row>
    <row r="142" spans="1:15" s="297" customFormat="1" ht="14.15" customHeight="1" x14ac:dyDescent="0.3">
      <c r="A142" s="369"/>
      <c r="B142" s="413"/>
      <c r="C142" s="1"/>
      <c r="D142" s="1"/>
      <c r="E142" s="36"/>
      <c r="F142" s="41"/>
      <c r="G142" s="348"/>
      <c r="H142" s="348"/>
      <c r="I142" s="36"/>
      <c r="J142" s="36"/>
      <c r="K142" s="414"/>
      <c r="L142" s="350"/>
      <c r="M142" s="351"/>
      <c r="N142" s="258"/>
      <c r="O142" s="258"/>
    </row>
    <row r="143" spans="1:15" s="297" customFormat="1" ht="14.15" customHeight="1" x14ac:dyDescent="0.3">
      <c r="A143" s="404">
        <v>2.19</v>
      </c>
      <c r="B143" s="455" t="s">
        <v>213</v>
      </c>
      <c r="C143" s="29"/>
      <c r="D143" s="1"/>
      <c r="E143" s="36"/>
      <c r="F143" s="41"/>
      <c r="G143" s="348"/>
      <c r="H143" s="348"/>
      <c r="I143" s="36"/>
      <c r="J143" s="36"/>
      <c r="K143" s="415">
        <f>H143*D143</f>
        <v>0</v>
      </c>
      <c r="L143" s="350"/>
      <c r="M143" s="351"/>
      <c r="N143" s="258"/>
      <c r="O143" s="258"/>
    </row>
    <row r="144" spans="1:15" s="297" customFormat="1" ht="14.15" customHeight="1" x14ac:dyDescent="0.3">
      <c r="A144" s="404" t="s">
        <v>214</v>
      </c>
      <c r="B144" s="443" t="s">
        <v>215</v>
      </c>
      <c r="C144" s="29" t="s">
        <v>42</v>
      </c>
      <c r="D144" s="1">
        <v>1</v>
      </c>
      <c r="E144" s="36">
        <v>25000</v>
      </c>
      <c r="F144" s="41">
        <v>0</v>
      </c>
      <c r="G144" s="348">
        <f>E144/(1-F144)</f>
        <v>25000</v>
      </c>
      <c r="H144" s="348">
        <v>0</v>
      </c>
      <c r="I144" s="36"/>
      <c r="J144" s="36"/>
      <c r="K144" s="415">
        <f>H144*D144</f>
        <v>0</v>
      </c>
      <c r="L144" s="350">
        <f>G144+H144</f>
        <v>25000</v>
      </c>
      <c r="M144" s="351">
        <f>D144*L144</f>
        <v>25000</v>
      </c>
      <c r="N144" s="258"/>
      <c r="O144" s="258"/>
    </row>
    <row r="145" spans="1:15" s="297" customFormat="1" ht="14.15" customHeight="1" x14ac:dyDescent="0.3">
      <c r="A145" s="404"/>
      <c r="B145" s="455"/>
      <c r="C145" s="29"/>
      <c r="D145" s="1"/>
      <c r="E145" s="36"/>
      <c r="F145" s="41"/>
      <c r="G145" s="348"/>
      <c r="H145" s="348"/>
      <c r="I145" s="36"/>
      <c r="J145" s="36"/>
      <c r="K145" s="415"/>
      <c r="L145" s="350"/>
      <c r="M145" s="351"/>
      <c r="N145" s="258"/>
      <c r="O145" s="258"/>
    </row>
    <row r="146" spans="1:15" s="297" customFormat="1" ht="14.15" customHeight="1" x14ac:dyDescent="0.3">
      <c r="A146" s="416">
        <v>2.2000000000000002</v>
      </c>
      <c r="B146" s="455" t="s">
        <v>216</v>
      </c>
      <c r="C146" s="29"/>
      <c r="D146" s="1"/>
      <c r="E146" s="36"/>
      <c r="F146" s="41"/>
      <c r="G146" s="348"/>
      <c r="H146" s="348"/>
      <c r="I146" s="36"/>
      <c r="J146" s="36"/>
      <c r="K146" s="415">
        <f>H146*D146</f>
        <v>0</v>
      </c>
      <c r="L146" s="350"/>
      <c r="M146" s="351"/>
      <c r="N146" s="258"/>
      <c r="O146" s="258"/>
    </row>
    <row r="147" spans="1:15" s="297" customFormat="1" ht="14.15" customHeight="1" x14ac:dyDescent="0.3">
      <c r="A147" s="404" t="s">
        <v>217</v>
      </c>
      <c r="B147" s="443" t="s">
        <v>218</v>
      </c>
      <c r="C147" s="29" t="s">
        <v>42</v>
      </c>
      <c r="D147" s="1">
        <v>1</v>
      </c>
      <c r="E147" s="36">
        <f>15000</f>
        <v>15000</v>
      </c>
      <c r="F147" s="41">
        <v>0</v>
      </c>
      <c r="G147" s="348">
        <f>E147/(1-F147)</f>
        <v>15000</v>
      </c>
      <c r="H147" s="348">
        <v>0</v>
      </c>
      <c r="I147" s="36"/>
      <c r="J147" s="36"/>
      <c r="K147" s="415">
        <f>H147*D147</f>
        <v>0</v>
      </c>
      <c r="L147" s="350">
        <f>G147+H147</f>
        <v>15000</v>
      </c>
      <c r="M147" s="351">
        <f>D147*L147</f>
        <v>15000</v>
      </c>
      <c r="N147" s="258"/>
      <c r="O147" s="258"/>
    </row>
    <row r="148" spans="1:15" s="297" customFormat="1" ht="14.15" customHeight="1" x14ac:dyDescent="0.3">
      <c r="A148" s="404"/>
      <c r="B148" s="455"/>
      <c r="C148" s="29"/>
      <c r="D148" s="1"/>
      <c r="E148" s="36"/>
      <c r="F148" s="41"/>
      <c r="G148" s="348"/>
      <c r="H148" s="348"/>
      <c r="I148" s="36"/>
      <c r="J148" s="36"/>
      <c r="K148" s="415"/>
      <c r="L148" s="350"/>
      <c r="M148" s="351"/>
      <c r="N148" s="258"/>
      <c r="O148" s="258"/>
    </row>
    <row r="149" spans="1:15" s="297" customFormat="1" ht="14.15" customHeight="1" x14ac:dyDescent="0.3">
      <c r="A149" s="404">
        <v>2.21</v>
      </c>
      <c r="B149" s="455" t="s">
        <v>219</v>
      </c>
      <c r="C149" s="29"/>
      <c r="D149" s="1"/>
      <c r="E149" s="36"/>
      <c r="F149" s="41"/>
      <c r="G149" s="348"/>
      <c r="H149" s="348"/>
      <c r="I149" s="36"/>
      <c r="J149" s="36"/>
      <c r="K149" s="415">
        <f>H149*D149</f>
        <v>0</v>
      </c>
      <c r="L149" s="350"/>
      <c r="M149" s="351"/>
      <c r="N149" s="258"/>
      <c r="O149" s="258"/>
    </row>
    <row r="150" spans="1:15" ht="14.15" customHeight="1" x14ac:dyDescent="0.3">
      <c r="A150" s="404" t="s">
        <v>220</v>
      </c>
      <c r="B150" s="443" t="s">
        <v>221</v>
      </c>
      <c r="C150" s="29" t="s">
        <v>42</v>
      </c>
      <c r="D150" s="1">
        <v>1</v>
      </c>
      <c r="E150" s="36">
        <f>5000</f>
        <v>5000</v>
      </c>
      <c r="F150" s="41">
        <v>0</v>
      </c>
      <c r="G150" s="348">
        <f>E150/(1-F150)</f>
        <v>5000</v>
      </c>
      <c r="H150" s="348">
        <v>0</v>
      </c>
      <c r="I150" s="36"/>
      <c r="J150" s="36"/>
      <c r="K150" s="415">
        <f>H150*D150</f>
        <v>0</v>
      </c>
      <c r="L150" s="350">
        <f>G150+H150</f>
        <v>5000</v>
      </c>
      <c r="M150" s="351">
        <f>D150*L150</f>
        <v>5000</v>
      </c>
      <c r="N150" s="258"/>
      <c r="O150" s="258"/>
    </row>
    <row r="151" spans="1:15" ht="14.15" customHeight="1" x14ac:dyDescent="0.3">
      <c r="A151" s="404" t="s">
        <v>222</v>
      </c>
      <c r="B151" s="443" t="s">
        <v>223</v>
      </c>
      <c r="C151" s="29" t="s">
        <v>42</v>
      </c>
      <c r="D151" s="1">
        <v>1</v>
      </c>
      <c r="E151" s="36">
        <f>50000</f>
        <v>50000</v>
      </c>
      <c r="F151" s="41">
        <v>0</v>
      </c>
      <c r="G151" s="348">
        <f>E151/(1-F151)</f>
        <v>50000</v>
      </c>
      <c r="H151" s="348">
        <v>0</v>
      </c>
      <c r="I151" s="36"/>
      <c r="J151" s="36"/>
      <c r="K151" s="415">
        <f>H151*D151</f>
        <v>0</v>
      </c>
      <c r="L151" s="350">
        <f>G151+H151</f>
        <v>50000</v>
      </c>
      <c r="M151" s="351">
        <f>D151*L151</f>
        <v>50000</v>
      </c>
      <c r="N151" s="258"/>
      <c r="O151" s="258"/>
    </row>
    <row r="152" spans="1:15" ht="14.15" customHeight="1" x14ac:dyDescent="0.3">
      <c r="A152" s="404"/>
      <c r="B152" s="413"/>
      <c r="C152" s="28"/>
      <c r="D152" s="1"/>
      <c r="E152" s="36"/>
      <c r="F152" s="41"/>
      <c r="G152" s="348"/>
      <c r="H152" s="348"/>
      <c r="I152" s="36"/>
      <c r="J152" s="36"/>
      <c r="K152" s="415"/>
      <c r="L152" s="350"/>
      <c r="M152" s="351"/>
      <c r="N152" s="258"/>
      <c r="O152" s="258"/>
    </row>
    <row r="153" spans="1:15" ht="14.15" customHeight="1" x14ac:dyDescent="0.3">
      <c r="A153" s="404">
        <v>2.2200000000000002</v>
      </c>
      <c r="B153" s="455" t="s">
        <v>224</v>
      </c>
      <c r="C153" s="28"/>
      <c r="D153" s="1"/>
      <c r="E153" s="36"/>
      <c r="F153" s="41"/>
      <c r="G153" s="348"/>
      <c r="H153" s="348"/>
      <c r="I153" s="36"/>
      <c r="J153" s="36"/>
      <c r="K153" s="415">
        <f>H153*D153</f>
        <v>0</v>
      </c>
      <c r="L153" s="350"/>
      <c r="M153" s="351"/>
      <c r="N153" s="258"/>
      <c r="O153" s="258"/>
    </row>
    <row r="154" spans="1:15" ht="14.15" customHeight="1" x14ac:dyDescent="0.3">
      <c r="A154" s="404"/>
      <c r="B154" s="413"/>
      <c r="C154" s="28"/>
      <c r="D154" s="1"/>
      <c r="E154" s="36"/>
      <c r="F154" s="41"/>
      <c r="G154" s="348"/>
      <c r="H154" s="348"/>
      <c r="I154" s="36"/>
      <c r="J154" s="36"/>
      <c r="K154" s="415">
        <f>H154*D154</f>
        <v>0</v>
      </c>
      <c r="L154" s="350"/>
      <c r="M154" s="351"/>
      <c r="N154" s="258"/>
      <c r="O154" s="258"/>
    </row>
    <row r="155" spans="1:15" ht="28" customHeight="1" x14ac:dyDescent="0.3">
      <c r="A155" s="404" t="s">
        <v>225</v>
      </c>
      <c r="B155" s="443" t="s">
        <v>226</v>
      </c>
      <c r="C155" s="1" t="s">
        <v>42</v>
      </c>
      <c r="D155" s="1">
        <v>1</v>
      </c>
      <c r="E155" s="36">
        <f>5000*3</f>
        <v>15000</v>
      </c>
      <c r="F155" s="41">
        <v>0.2</v>
      </c>
      <c r="G155" s="348">
        <f>E155/(1-F155)</f>
        <v>18750</v>
      </c>
      <c r="H155" s="348">
        <v>1</v>
      </c>
      <c r="I155" s="36"/>
      <c r="J155" s="36"/>
      <c r="K155" s="415">
        <f>H155*D155</f>
        <v>1</v>
      </c>
      <c r="L155" s="350">
        <f>G155+H155</f>
        <v>18751</v>
      </c>
      <c r="M155" s="351">
        <f>D155*L155</f>
        <v>18751</v>
      </c>
      <c r="N155" s="258"/>
      <c r="O155" s="258"/>
    </row>
    <row r="156" spans="1:15" ht="14.15" customHeight="1" x14ac:dyDescent="0.3">
      <c r="A156" s="404"/>
      <c r="B156" s="413"/>
      <c r="C156" s="28"/>
      <c r="D156" s="1"/>
      <c r="E156" s="36"/>
      <c r="F156" s="41"/>
      <c r="G156" s="348"/>
      <c r="H156" s="348"/>
      <c r="I156" s="36"/>
      <c r="J156" s="36"/>
      <c r="K156" s="417"/>
      <c r="L156" s="350"/>
      <c r="M156" s="418"/>
      <c r="N156" s="258"/>
      <c r="O156" s="258"/>
    </row>
    <row r="157" spans="1:15" ht="14.5" customHeight="1" thickBot="1" x14ac:dyDescent="0.35">
      <c r="A157" s="440"/>
      <c r="B157" s="413"/>
      <c r="C157" s="28"/>
      <c r="D157" s="1"/>
      <c r="E157" s="36"/>
      <c r="F157" s="41"/>
      <c r="G157" s="348"/>
      <c r="H157" s="348"/>
      <c r="I157" s="36"/>
      <c r="J157" s="36"/>
      <c r="K157" s="417"/>
      <c r="L157" s="350"/>
      <c r="M157" s="418"/>
      <c r="N157" s="258"/>
      <c r="O157" s="258"/>
    </row>
    <row r="158" spans="1:15" ht="18.75" customHeight="1" thickTop="1" x14ac:dyDescent="0.3">
      <c r="A158" s="419"/>
      <c r="B158" s="457" t="s">
        <v>227</v>
      </c>
      <c r="C158" s="2"/>
      <c r="D158" s="2"/>
      <c r="E158" s="39"/>
      <c r="F158" s="42"/>
      <c r="G158" s="421"/>
      <c r="H158" s="421"/>
      <c r="I158" s="39"/>
      <c r="J158" s="39"/>
      <c r="K158" s="422">
        <f>SUM(K11:K155)</f>
        <v>377638</v>
      </c>
      <c r="L158" s="458"/>
      <c r="M158" s="424">
        <f>SUM(M11:M157)</f>
        <v>3161789.7770833336</v>
      </c>
      <c r="N158" s="258"/>
      <c r="O158" s="258"/>
    </row>
    <row r="159" spans="1:15" ht="16.5" customHeight="1" x14ac:dyDescent="0.3">
      <c r="A159" s="426"/>
      <c r="B159" s="427"/>
      <c r="C159" s="257"/>
      <c r="D159" s="47"/>
      <c r="E159" s="250"/>
      <c r="F159" s="48"/>
      <c r="G159" s="428"/>
      <c r="H159" s="428"/>
      <c r="I159" s="250"/>
      <c r="J159" s="250"/>
      <c r="K159" s="429"/>
      <c r="L159" s="430"/>
      <c r="M159" s="431"/>
      <c r="N159" s="258"/>
      <c r="O159" s="258"/>
    </row>
    <row r="160" spans="1:15" ht="18.75" customHeight="1" x14ac:dyDescent="0.3">
      <c r="A160" s="258"/>
      <c r="B160" s="387"/>
      <c r="C160" s="34"/>
      <c r="D160" s="249"/>
      <c r="E160" s="249"/>
      <c r="F160" s="249"/>
      <c r="G160" s="432"/>
      <c r="H160" s="432"/>
      <c r="I160" s="249"/>
      <c r="J160" s="249"/>
      <c r="K160" s="432"/>
      <c r="L160" s="433"/>
      <c r="M160" s="434"/>
      <c r="N160" s="258"/>
      <c r="O160" s="258"/>
    </row>
    <row r="161" spans="1:15" ht="18.75" customHeight="1" x14ac:dyDescent="0.25">
      <c r="A161" s="258"/>
      <c r="B161" s="258"/>
      <c r="G161" s="258"/>
      <c r="H161" s="258"/>
      <c r="K161" s="258"/>
      <c r="L161" s="258"/>
      <c r="M161" s="258"/>
      <c r="N161" s="258"/>
      <c r="O161" s="258"/>
    </row>
    <row r="162" spans="1:15" ht="18.75" customHeight="1" x14ac:dyDescent="0.25">
      <c r="A162" s="258"/>
      <c r="B162" s="258"/>
      <c r="G162" s="258"/>
      <c r="H162" s="258"/>
      <c r="K162" s="258"/>
      <c r="L162" s="258"/>
      <c r="M162" s="258"/>
      <c r="N162" s="258"/>
      <c r="O162" s="258"/>
    </row>
    <row r="163" spans="1:15" ht="18.75" customHeight="1" x14ac:dyDescent="0.25">
      <c r="A163" s="258"/>
      <c r="B163" s="258"/>
      <c r="G163" s="258"/>
      <c r="H163" s="258"/>
      <c r="K163" s="258"/>
      <c r="L163" s="258"/>
      <c r="M163" s="258"/>
      <c r="N163" s="258"/>
      <c r="O163" s="258"/>
    </row>
    <row r="164" spans="1:15" ht="18.75" customHeight="1" x14ac:dyDescent="0.25">
      <c r="A164" s="258"/>
      <c r="B164" s="258"/>
      <c r="G164" s="258"/>
      <c r="H164" s="258"/>
      <c r="K164" s="258"/>
      <c r="L164" s="258"/>
      <c r="M164" s="258"/>
      <c r="N164" s="258"/>
      <c r="O164" s="258"/>
    </row>
    <row r="165" spans="1:15" ht="18.75" customHeight="1" x14ac:dyDescent="0.25">
      <c r="A165" s="258"/>
      <c r="B165" s="258"/>
      <c r="G165" s="258"/>
      <c r="H165" s="258"/>
      <c r="K165" s="258"/>
      <c r="L165" s="258"/>
      <c r="M165" s="258"/>
      <c r="N165" s="258"/>
      <c r="O165" s="258"/>
    </row>
    <row r="166" spans="1:15" ht="18.75" customHeight="1" x14ac:dyDescent="0.25">
      <c r="A166" s="258"/>
      <c r="B166" s="258"/>
      <c r="G166" s="258"/>
      <c r="H166" s="258"/>
      <c r="K166" s="258"/>
      <c r="L166" s="258"/>
      <c r="M166" s="258"/>
      <c r="N166" s="258"/>
      <c r="O166" s="258"/>
    </row>
    <row r="167" spans="1:15" ht="18.75" customHeight="1" x14ac:dyDescent="0.25">
      <c r="A167" s="258"/>
      <c r="B167" s="258"/>
      <c r="G167" s="258"/>
      <c r="H167" s="258"/>
      <c r="K167" s="258"/>
      <c r="L167" s="258"/>
      <c r="M167" s="258"/>
      <c r="N167" s="258"/>
      <c r="O167" s="258"/>
    </row>
    <row r="168" spans="1:15" ht="18.75" customHeight="1" x14ac:dyDescent="0.25">
      <c r="A168" s="258"/>
      <c r="B168" s="258"/>
      <c r="G168" s="258"/>
      <c r="H168" s="258"/>
      <c r="K168" s="258"/>
      <c r="L168" s="258"/>
      <c r="M168" s="258"/>
      <c r="N168" s="258"/>
      <c r="O168" s="258"/>
    </row>
    <row r="169" spans="1:15" ht="18.75" customHeight="1" x14ac:dyDescent="0.25">
      <c r="A169" s="258"/>
      <c r="B169" s="258"/>
      <c r="G169" s="258"/>
      <c r="H169" s="258"/>
      <c r="K169" s="258"/>
      <c r="L169" s="258"/>
      <c r="M169" s="258"/>
      <c r="N169" s="258"/>
      <c r="O169" s="258"/>
    </row>
    <row r="170" spans="1:15" s="8" customFormat="1" ht="18.75" customHeight="1" x14ac:dyDescent="0.25">
      <c r="A170" s="258"/>
      <c r="B170" s="435"/>
      <c r="C170" s="35"/>
      <c r="G170" s="258"/>
      <c r="H170" s="258"/>
      <c r="K170" s="258"/>
      <c r="L170" s="436"/>
      <c r="M170" s="437"/>
      <c r="N170" s="258"/>
      <c r="O170" s="258"/>
    </row>
    <row r="171" spans="1:15" s="8" customFormat="1" ht="18.75" customHeight="1" x14ac:dyDescent="0.25">
      <c r="A171" s="258"/>
      <c r="B171" s="435"/>
      <c r="C171" s="35"/>
      <c r="G171" s="258"/>
      <c r="H171" s="258"/>
      <c r="K171" s="258"/>
      <c r="L171" s="436"/>
      <c r="M171" s="437"/>
      <c r="N171" s="258"/>
      <c r="O171" s="258"/>
    </row>
    <row r="172" spans="1:15" s="8" customFormat="1" ht="18.75" customHeight="1" x14ac:dyDescent="0.25">
      <c r="A172" s="258"/>
      <c r="B172" s="435"/>
      <c r="C172" s="35"/>
      <c r="G172" s="258"/>
      <c r="H172" s="258"/>
      <c r="K172" s="258"/>
      <c r="L172" s="436"/>
      <c r="M172" s="437"/>
      <c r="N172" s="258"/>
      <c r="O172" s="258"/>
    </row>
    <row r="173" spans="1:15" s="8" customFormat="1" ht="18.75" customHeight="1" x14ac:dyDescent="0.25">
      <c r="A173" s="258"/>
      <c r="B173" s="435"/>
      <c r="C173" s="35"/>
      <c r="G173" s="258"/>
      <c r="H173" s="258"/>
      <c r="K173" s="258"/>
      <c r="L173" s="436"/>
      <c r="M173" s="437"/>
      <c r="N173" s="258"/>
      <c r="O173" s="258"/>
    </row>
    <row r="174" spans="1:15" s="8" customFormat="1" ht="18.75" customHeight="1" x14ac:dyDescent="0.25">
      <c r="A174" s="258"/>
      <c r="B174" s="435"/>
      <c r="C174" s="35"/>
      <c r="G174" s="258"/>
      <c r="H174" s="258"/>
      <c r="K174" s="258"/>
      <c r="L174" s="436"/>
      <c r="M174" s="437"/>
      <c r="N174" s="258"/>
      <c r="O174" s="258"/>
    </row>
    <row r="175" spans="1:15" s="8" customFormat="1" ht="18.75" customHeight="1" x14ac:dyDescent="0.25">
      <c r="A175" s="258"/>
      <c r="B175" s="435"/>
      <c r="C175" s="35"/>
      <c r="G175" s="258"/>
      <c r="H175" s="258"/>
      <c r="K175" s="258"/>
      <c r="L175" s="436"/>
      <c r="M175" s="437"/>
      <c r="N175" s="258"/>
      <c r="O175" s="258"/>
    </row>
    <row r="176" spans="1:15" s="8" customFormat="1" ht="18.75" customHeight="1" x14ac:dyDescent="0.25">
      <c r="A176" s="258"/>
      <c r="B176" s="435"/>
      <c r="C176" s="35"/>
      <c r="G176" s="258"/>
      <c r="H176" s="258"/>
      <c r="K176" s="258"/>
      <c r="L176" s="436"/>
      <c r="M176" s="437"/>
      <c r="N176" s="258"/>
      <c r="O176" s="258"/>
    </row>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O175"/>
  <sheetViews>
    <sheetView view="pageBreakPreview" zoomScale="70" zoomScaleNormal="100" zoomScaleSheetLayoutView="70" workbookViewId="0">
      <pane ySplit="5" topLeftCell="A15" activePane="bottomLeft" state="frozen"/>
      <selection pane="bottomLeft" activeCell="N157" sqref="N157"/>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7.453125" style="8" bestFit="1" customWidth="1"/>
    <col min="8" max="10" width="13.81640625" style="8" customWidth="1"/>
    <col min="11" max="11" width="14.81640625" style="8" bestFit="1" customWidth="1"/>
    <col min="12" max="12" width="13.54296875" style="295" bestFit="1"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5" t="s">
        <v>36</v>
      </c>
      <c r="E5" s="40" t="s">
        <v>72</v>
      </c>
      <c r="F5" s="82" t="s">
        <v>73</v>
      </c>
      <c r="G5" s="313" t="s">
        <v>74</v>
      </c>
      <c r="H5" s="314" t="s">
        <v>75</v>
      </c>
      <c r="I5" s="82" t="s">
        <v>73</v>
      </c>
      <c r="J5" s="315" t="s">
        <v>76</v>
      </c>
      <c r="K5" s="316"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347" t="s">
        <v>429</v>
      </c>
      <c r="C11" s="248" t="s">
        <v>85</v>
      </c>
      <c r="D11" s="1">
        <v>140</v>
      </c>
      <c r="E11" s="36">
        <f>1623.93*1.2</f>
        <v>1948.7159999999999</v>
      </c>
      <c r="F11" s="41">
        <v>0.25</v>
      </c>
      <c r="G11" s="348">
        <f>E11/(1-F11)</f>
        <v>2598.288</v>
      </c>
      <c r="H11" s="348">
        <v>350</v>
      </c>
      <c r="I11" s="83">
        <v>0.15</v>
      </c>
      <c r="J11" s="79">
        <f>H11*(1+I11)</f>
        <v>402.49999999999994</v>
      </c>
      <c r="K11" s="349">
        <f>J11*D11</f>
        <v>56349.999999999993</v>
      </c>
      <c r="L11" s="350">
        <f>G11+J11</f>
        <v>3000.788</v>
      </c>
      <c r="M11" s="351">
        <f>D11*L11</f>
        <v>420110.32</v>
      </c>
      <c r="N11" s="258"/>
      <c r="O11" s="258"/>
    </row>
    <row r="12" spans="1:15" ht="14.5" customHeight="1" thickBot="1" x14ac:dyDescent="0.35">
      <c r="A12" s="354"/>
      <c r="B12" s="441"/>
      <c r="C12" s="89"/>
      <c r="D12" s="72"/>
      <c r="E12" s="73"/>
      <c r="F12" s="74"/>
      <c r="G12" s="356"/>
      <c r="H12" s="356"/>
      <c r="I12" s="73"/>
      <c r="J12" s="73"/>
      <c r="K12" s="357"/>
      <c r="L12" s="358"/>
      <c r="M12" s="358"/>
      <c r="N12" s="258"/>
      <c r="O12" s="258"/>
    </row>
    <row r="13" spans="1:15" ht="14.15" customHeight="1" x14ac:dyDescent="0.3">
      <c r="A13" s="359" t="s">
        <v>86</v>
      </c>
      <c r="B13" s="360"/>
      <c r="C13" s="55"/>
      <c r="D13" s="58" t="s">
        <v>87</v>
      </c>
      <c r="E13" s="56"/>
      <c r="F13" s="57"/>
      <c r="G13" s="361"/>
      <c r="H13" s="361"/>
      <c r="I13" s="56"/>
      <c r="J13" s="56"/>
      <c r="K13" s="362"/>
      <c r="L13" s="363"/>
      <c r="M13" s="363"/>
      <c r="N13" s="258"/>
      <c r="O13" s="258"/>
    </row>
    <row r="14" spans="1:15" ht="14.5" customHeight="1" thickBot="1" x14ac:dyDescent="0.35">
      <c r="A14" s="341" t="s">
        <v>88</v>
      </c>
      <c r="B14" s="517" t="s">
        <v>430</v>
      </c>
      <c r="C14" s="85" t="s">
        <v>85</v>
      </c>
      <c r="D14" s="50">
        <v>5</v>
      </c>
      <c r="E14" s="36">
        <f>37623.76*1.2</f>
        <v>45148.512000000002</v>
      </c>
      <c r="F14" s="41">
        <v>0.2</v>
      </c>
      <c r="G14" s="348">
        <f>E14/(1-F14)</f>
        <v>56435.64</v>
      </c>
      <c r="H14" s="348">
        <f>(550*8)+3600</f>
        <v>8000</v>
      </c>
      <c r="I14" s="83">
        <v>0.15</v>
      </c>
      <c r="J14" s="79">
        <f>H14*(1+I14)</f>
        <v>9200</v>
      </c>
      <c r="K14" s="349">
        <f>J14*D14</f>
        <v>46000</v>
      </c>
      <c r="L14" s="350">
        <f>G14+J14</f>
        <v>65635.64</v>
      </c>
      <c r="M14" s="351">
        <f>D14*L14</f>
        <v>328178.2</v>
      </c>
      <c r="N14" s="258"/>
      <c r="O14" s="258"/>
    </row>
    <row r="15" spans="1:15" ht="14.5" customHeight="1" thickBot="1" x14ac:dyDescent="0.35">
      <c r="A15" s="354"/>
      <c r="B15" s="441"/>
      <c r="C15" s="89"/>
      <c r="D15" s="72"/>
      <c r="E15" s="73"/>
      <c r="F15" s="74"/>
      <c r="G15" s="356"/>
      <c r="H15" s="356"/>
      <c r="I15" s="73"/>
      <c r="J15" s="73"/>
      <c r="K15" s="357"/>
      <c r="L15" s="358"/>
      <c r="M15" s="358"/>
      <c r="N15" s="258"/>
      <c r="O15" s="258"/>
    </row>
    <row r="16" spans="1:15" ht="14.15" customHeight="1" x14ac:dyDescent="0.3">
      <c r="A16" s="359">
        <v>2.2999999999999998</v>
      </c>
      <c r="B16" s="367"/>
      <c r="C16" s="55"/>
      <c r="D16" s="58" t="s">
        <v>91</v>
      </c>
      <c r="E16" s="56"/>
      <c r="F16" s="57"/>
      <c r="G16" s="361"/>
      <c r="H16" s="361"/>
      <c r="I16" s="56"/>
      <c r="J16" s="56"/>
      <c r="K16" s="362"/>
      <c r="L16" s="363"/>
      <c r="M16" s="363"/>
      <c r="N16" s="258"/>
      <c r="O16" s="258"/>
    </row>
    <row r="17" spans="1:15" ht="14.5" customHeight="1" thickBot="1" x14ac:dyDescent="0.35">
      <c r="A17" s="341" t="s">
        <v>92</v>
      </c>
      <c r="B17" s="446" t="s">
        <v>431</v>
      </c>
      <c r="C17" s="85" t="s">
        <v>85</v>
      </c>
      <c r="D17" s="50">
        <v>6</v>
      </c>
      <c r="E17" s="51">
        <v>1200</v>
      </c>
      <c r="F17" s="41">
        <v>0.2</v>
      </c>
      <c r="G17" s="348">
        <f>E17/(1-F17)</f>
        <v>1500</v>
      </c>
      <c r="H17" s="348">
        <f>(550*4)+3500</f>
        <v>5700</v>
      </c>
      <c r="I17" s="83">
        <v>0.15</v>
      </c>
      <c r="J17" s="79">
        <f>H17*(1+I17)</f>
        <v>6554.9999999999991</v>
      </c>
      <c r="K17" s="349">
        <f>J17*D17</f>
        <v>39329.999999999993</v>
      </c>
      <c r="L17" s="350">
        <f>G17+J17</f>
        <v>8054.9999999999991</v>
      </c>
      <c r="M17" s="351">
        <f>D17*L17</f>
        <v>48329.999999999993</v>
      </c>
      <c r="N17" s="258"/>
      <c r="O17" s="258"/>
    </row>
    <row r="18" spans="1:15" ht="14.5" customHeight="1" thickBot="1" x14ac:dyDescent="0.35">
      <c r="A18" s="341" t="s">
        <v>94</v>
      </c>
      <c r="B18" s="444" t="s">
        <v>432</v>
      </c>
      <c r="C18" s="248" t="s">
        <v>90</v>
      </c>
      <c r="D18" s="1">
        <v>3</v>
      </c>
      <c r="E18" s="36">
        <v>70000</v>
      </c>
      <c r="F18" s="41">
        <v>0.2</v>
      </c>
      <c r="G18" s="348">
        <f>E18/(1-F18)</f>
        <v>87500</v>
      </c>
      <c r="H18" s="348">
        <f>(550*4)+3500</f>
        <v>5700</v>
      </c>
      <c r="I18" s="83">
        <v>0.15</v>
      </c>
      <c r="J18" s="79">
        <f>H18*(1+I18)</f>
        <v>6554.9999999999991</v>
      </c>
      <c r="K18" s="349">
        <f>J18*D18</f>
        <v>19664.999999999996</v>
      </c>
      <c r="L18" s="350">
        <f>G18+J18</f>
        <v>94055</v>
      </c>
      <c r="M18" s="351">
        <f>D18*L18</f>
        <v>282165</v>
      </c>
      <c r="N18" s="436"/>
      <c r="O18" s="369"/>
    </row>
    <row r="19" spans="1:15" ht="14.15" customHeight="1" x14ac:dyDescent="0.3">
      <c r="A19" s="359">
        <v>2.4</v>
      </c>
      <c r="B19" s="360"/>
      <c r="C19" s="55"/>
      <c r="D19" s="58" t="s">
        <v>96</v>
      </c>
      <c r="E19" s="56"/>
      <c r="F19" s="57"/>
      <c r="G19" s="361"/>
      <c r="H19" s="361"/>
      <c r="I19" s="56"/>
      <c r="J19" s="56"/>
      <c r="K19" s="362"/>
      <c r="L19" s="363"/>
      <c r="M19" s="363"/>
      <c r="N19" s="258"/>
      <c r="O19" s="258"/>
    </row>
    <row r="20" spans="1:15" ht="28" customHeight="1" x14ac:dyDescent="0.3">
      <c r="A20" s="370" t="s">
        <v>97</v>
      </c>
      <c r="B20" s="445" t="s">
        <v>438</v>
      </c>
      <c r="C20" s="7" t="s">
        <v>85</v>
      </c>
      <c r="D20" s="7">
        <v>1</v>
      </c>
      <c r="E20" s="37">
        <f>337953.15*1.2</f>
        <v>405543.78</v>
      </c>
      <c r="F20" s="41">
        <v>0.2</v>
      </c>
      <c r="G20" s="348">
        <f>E20/(1-F20)</f>
        <v>506929.72500000003</v>
      </c>
      <c r="H20" s="371">
        <f>(550*8)+3600</f>
        <v>8000</v>
      </c>
      <c r="I20" s="83">
        <v>0.15</v>
      </c>
      <c r="J20" s="79">
        <f>H20*(1+I20)</f>
        <v>9200</v>
      </c>
      <c r="K20" s="349">
        <f>J20*D20</f>
        <v>9200</v>
      </c>
      <c r="L20" s="350">
        <f>G20+J20</f>
        <v>516129.72500000003</v>
      </c>
      <c r="M20" s="351">
        <f>D20*L20</f>
        <v>516129.72500000003</v>
      </c>
      <c r="N20" s="258"/>
      <c r="O20" s="258"/>
    </row>
    <row r="21" spans="1:15" ht="28" customHeight="1" x14ac:dyDescent="0.3">
      <c r="A21" s="370"/>
      <c r="B21" s="445" t="s">
        <v>439</v>
      </c>
      <c r="C21" s="7" t="s">
        <v>85</v>
      </c>
      <c r="D21" s="7">
        <v>2</v>
      </c>
      <c r="E21" s="37">
        <f>67020.88*1.2</f>
        <v>80425.055999999997</v>
      </c>
      <c r="F21" s="41">
        <v>0.2</v>
      </c>
      <c r="G21" s="348">
        <f>E21/(1-F21)</f>
        <v>100531.31999999999</v>
      </c>
      <c r="H21" s="371">
        <f>(550*8)+3600</f>
        <v>8000</v>
      </c>
      <c r="I21" s="83">
        <v>0.15</v>
      </c>
      <c r="J21" s="79">
        <f>H21*(1+I21)</f>
        <v>9200</v>
      </c>
      <c r="K21" s="349">
        <f>J21*D21</f>
        <v>18400</v>
      </c>
      <c r="L21" s="350">
        <f>G21+J21</f>
        <v>109731.31999999999</v>
      </c>
      <c r="M21" s="351">
        <f>D21*L21</f>
        <v>219462.63999999998</v>
      </c>
      <c r="N21" s="258"/>
      <c r="O21" s="258"/>
    </row>
    <row r="22" spans="1:15" ht="14.15" customHeight="1" x14ac:dyDescent="0.3">
      <c r="A22" s="370"/>
      <c r="B22" s="443"/>
      <c r="C22" s="7"/>
      <c r="D22" s="7"/>
      <c r="E22" s="37"/>
      <c r="F22" s="41"/>
      <c r="G22" s="348"/>
      <c r="H22" s="371"/>
      <c r="I22" s="66"/>
      <c r="J22" s="66"/>
      <c r="K22" s="349"/>
      <c r="L22" s="350"/>
      <c r="M22" s="351"/>
      <c r="N22" s="258"/>
      <c r="O22" s="258"/>
    </row>
    <row r="23" spans="1:15" ht="14.15" customHeight="1" x14ac:dyDescent="0.3">
      <c r="A23" s="370" t="s">
        <v>99</v>
      </c>
      <c r="B23" s="443"/>
      <c r="C23" s="7"/>
      <c r="D23" s="7"/>
      <c r="E23" s="37"/>
      <c r="F23" s="41"/>
      <c r="G23" s="348"/>
      <c r="H23" s="371"/>
      <c r="I23" s="66"/>
      <c r="J23" s="66"/>
      <c r="K23" s="349"/>
      <c r="L23" s="350"/>
      <c r="M23" s="351"/>
      <c r="N23" s="258"/>
      <c r="O23" s="258"/>
    </row>
    <row r="24" spans="1:15" ht="28.5" customHeight="1" thickBot="1" x14ac:dyDescent="0.35">
      <c r="A24" s="374"/>
      <c r="B24" s="446" t="s">
        <v>100</v>
      </c>
      <c r="C24" s="68" t="s">
        <v>85</v>
      </c>
      <c r="D24" s="68">
        <v>4</v>
      </c>
      <c r="E24" s="69">
        <f>1888.71*1.15</f>
        <v>2172.0164999999997</v>
      </c>
      <c r="F24" s="52">
        <v>0.2</v>
      </c>
      <c r="G24" s="376">
        <f>E24/(1-F24)</f>
        <v>2715.0206249999997</v>
      </c>
      <c r="H24" s="377">
        <f>250*1</f>
        <v>250</v>
      </c>
      <c r="I24" s="83">
        <v>0.15</v>
      </c>
      <c r="J24" s="79">
        <f>H24*(1+I24)</f>
        <v>287.5</v>
      </c>
      <c r="K24" s="349">
        <f>J24*D24</f>
        <v>1150</v>
      </c>
      <c r="L24" s="350">
        <f>G24+J24</f>
        <v>3002.5206249999997</v>
      </c>
      <c r="M24" s="378">
        <f>D24*L24</f>
        <v>12010.082499999999</v>
      </c>
      <c r="N24" s="258"/>
      <c r="O24" s="258"/>
    </row>
    <row r="25" spans="1:15" ht="14.5" customHeight="1" thickBot="1" x14ac:dyDescent="0.35">
      <c r="A25" s="354"/>
      <c r="B25" s="441"/>
      <c r="C25" s="89"/>
      <c r="D25" s="72"/>
      <c r="E25" s="73"/>
      <c r="F25" s="74"/>
      <c r="G25" s="356"/>
      <c r="H25" s="356"/>
      <c r="I25" s="73"/>
      <c r="J25" s="73"/>
      <c r="K25" s="357"/>
      <c r="L25" s="358"/>
      <c r="M25" s="358"/>
      <c r="N25" s="258"/>
      <c r="O25" s="258"/>
    </row>
    <row r="26" spans="1:15" ht="14.15" customHeight="1" x14ac:dyDescent="0.3">
      <c r="A26" s="379">
        <v>2.5</v>
      </c>
      <c r="B26" s="360"/>
      <c r="C26" s="55"/>
      <c r="D26" s="58" t="s">
        <v>101</v>
      </c>
      <c r="E26" s="56"/>
      <c r="F26" s="57"/>
      <c r="G26" s="361"/>
      <c r="H26" s="361"/>
      <c r="I26" s="56"/>
      <c r="J26" s="56"/>
      <c r="K26" s="362"/>
      <c r="L26" s="363"/>
      <c r="M26" s="363"/>
      <c r="N26" s="258"/>
      <c r="O26" s="258"/>
    </row>
    <row r="27" spans="1:15" ht="14.15" customHeight="1" x14ac:dyDescent="0.3">
      <c r="A27" s="380" t="s">
        <v>102</v>
      </c>
      <c r="B27" s="444" t="s">
        <v>103</v>
      </c>
      <c r="C27" s="7" t="s">
        <v>85</v>
      </c>
      <c r="D27" s="7">
        <f>D11</f>
        <v>140</v>
      </c>
      <c r="E27" s="37">
        <v>650</v>
      </c>
      <c r="F27" s="41">
        <v>0.2</v>
      </c>
      <c r="G27" s="348">
        <f>E27/(1-F27)</f>
        <v>812.5</v>
      </c>
      <c r="H27" s="371">
        <f>(((5*200)*4)*1.2)/D27</f>
        <v>34.285714285714285</v>
      </c>
      <c r="I27" s="83">
        <v>0.15</v>
      </c>
      <c r="J27" s="79">
        <f>H27*(1+I27)</f>
        <v>39.428571428571423</v>
      </c>
      <c r="K27" s="349">
        <f>J27*D27</f>
        <v>5519.9999999999991</v>
      </c>
      <c r="L27" s="350">
        <f>G27+J27</f>
        <v>851.92857142857144</v>
      </c>
      <c r="M27" s="351">
        <f>D27*L27</f>
        <v>119270</v>
      </c>
      <c r="N27" s="258"/>
      <c r="O27" s="258"/>
    </row>
    <row r="28" spans="1:15" ht="14.5" customHeight="1" thickBot="1" x14ac:dyDescent="0.35">
      <c r="A28" s="381"/>
      <c r="B28" s="446" t="s">
        <v>104</v>
      </c>
      <c r="C28" s="85" t="s">
        <v>42</v>
      </c>
      <c r="D28" s="50">
        <v>1</v>
      </c>
      <c r="E28" s="51">
        <f>10000</f>
        <v>10000</v>
      </c>
      <c r="F28" s="52">
        <v>0.2</v>
      </c>
      <c r="G28" s="376">
        <f>E28/(1-F28)</f>
        <v>12500</v>
      </c>
      <c r="H28" s="376">
        <f>2500*3</f>
        <v>7500</v>
      </c>
      <c r="I28" s="83">
        <v>0.15</v>
      </c>
      <c r="J28" s="79">
        <f>H28*(1+I28)</f>
        <v>8625</v>
      </c>
      <c r="K28" s="382">
        <f>J28*D28</f>
        <v>8625</v>
      </c>
      <c r="L28" s="350">
        <f>G28+J28</f>
        <v>21125</v>
      </c>
      <c r="M28" s="378">
        <f>D28*L28</f>
        <v>21125</v>
      </c>
      <c r="N28" s="258"/>
      <c r="O28" s="258"/>
    </row>
    <row r="29" spans="1:15" ht="14.5" customHeight="1" thickBot="1" x14ac:dyDescent="0.35">
      <c r="A29" s="354"/>
      <c r="B29" s="441"/>
      <c r="C29" s="89"/>
      <c r="D29" s="72"/>
      <c r="E29" s="73"/>
      <c r="F29" s="74"/>
      <c r="G29" s="356"/>
      <c r="H29" s="356"/>
      <c r="I29" s="73"/>
      <c r="J29" s="73"/>
      <c r="K29" s="357"/>
      <c r="L29" s="358"/>
      <c r="M29" s="358"/>
      <c r="N29" s="258"/>
      <c r="O29" s="258"/>
    </row>
    <row r="30" spans="1:15" ht="14.15" customHeight="1" x14ac:dyDescent="0.3">
      <c r="A30" s="359">
        <v>2.6</v>
      </c>
      <c r="B30" s="360"/>
      <c r="C30" s="55"/>
      <c r="D30" s="58" t="s">
        <v>105</v>
      </c>
      <c r="E30" s="56"/>
      <c r="F30" s="57"/>
      <c r="G30" s="361"/>
      <c r="H30" s="361"/>
      <c r="I30" s="56"/>
      <c r="J30" s="56"/>
      <c r="K30" s="362"/>
      <c r="L30" s="363"/>
      <c r="M30" s="363"/>
      <c r="N30" s="258"/>
      <c r="O30" s="258"/>
    </row>
    <row r="31" spans="1:15" ht="42" customHeight="1" x14ac:dyDescent="0.3">
      <c r="A31" s="341" t="s">
        <v>106</v>
      </c>
      <c r="B31" s="444" t="s">
        <v>107</v>
      </c>
      <c r="C31" s="248" t="s">
        <v>108</v>
      </c>
      <c r="D31" s="1">
        <v>750</v>
      </c>
      <c r="E31" s="36">
        <f>14.85*1.15</f>
        <v>17.077499999999997</v>
      </c>
      <c r="F31" s="41">
        <v>0.2</v>
      </c>
      <c r="G31" s="348">
        <f>E31/(1-F31)</f>
        <v>21.346874999999994</v>
      </c>
      <c r="H31" s="348">
        <f>39</f>
        <v>39</v>
      </c>
      <c r="I31" s="83">
        <v>0.15</v>
      </c>
      <c r="J31" s="79">
        <f>H31*(1+I31)</f>
        <v>44.849999999999994</v>
      </c>
      <c r="K31" s="349">
        <f>J31*D31</f>
        <v>33637.499999999993</v>
      </c>
      <c r="L31" s="350">
        <f>G31+J31</f>
        <v>66.196874999999991</v>
      </c>
      <c r="M31" s="351">
        <f>D31*L31</f>
        <v>49647.656249999993</v>
      </c>
      <c r="N31" s="258"/>
      <c r="O31" s="258"/>
    </row>
    <row r="32" spans="1:15" ht="14.15" customHeight="1" x14ac:dyDescent="0.3">
      <c r="A32" s="341" t="s">
        <v>109</v>
      </c>
      <c r="B32" s="443" t="s">
        <v>110</v>
      </c>
      <c r="C32" s="248" t="s">
        <v>108</v>
      </c>
      <c r="D32" s="1">
        <v>32</v>
      </c>
      <c r="E32" s="36">
        <f>300</f>
        <v>300</v>
      </c>
      <c r="F32" s="41">
        <v>0.2</v>
      </c>
      <c r="G32" s="348">
        <f>E32/(1-F32)</f>
        <v>375</v>
      </c>
      <c r="H32" s="348">
        <f>65</f>
        <v>65</v>
      </c>
      <c r="I32" s="83">
        <v>0.15</v>
      </c>
      <c r="J32" s="79">
        <f>H32*(1+I32)</f>
        <v>74.75</v>
      </c>
      <c r="K32" s="349">
        <f>J32*D32</f>
        <v>2392</v>
      </c>
      <c r="L32" s="350">
        <f>G32+J32</f>
        <v>449.75</v>
      </c>
      <c r="M32" s="351">
        <f>D32*L32</f>
        <v>14392</v>
      </c>
      <c r="N32" s="258"/>
      <c r="O32" s="258"/>
    </row>
    <row r="33" spans="1:15" ht="14.15" customHeight="1" x14ac:dyDescent="0.3">
      <c r="A33" s="341" t="s">
        <v>111</v>
      </c>
      <c r="B33" s="443" t="s">
        <v>112</v>
      </c>
      <c r="C33" s="248" t="s">
        <v>108</v>
      </c>
      <c r="D33" s="1">
        <v>0</v>
      </c>
      <c r="E33" s="36">
        <f>190</f>
        <v>190</v>
      </c>
      <c r="F33" s="41">
        <v>0.2</v>
      </c>
      <c r="G33" s="348">
        <f>E33/(1-F33)</f>
        <v>237.5</v>
      </c>
      <c r="H33" s="348">
        <f>65</f>
        <v>65</v>
      </c>
      <c r="I33" s="83">
        <v>0.15</v>
      </c>
      <c r="J33" s="79">
        <f>H33*(1+I33)</f>
        <v>74.75</v>
      </c>
      <c r="K33" s="349">
        <f>J33*D33</f>
        <v>0</v>
      </c>
      <c r="L33" s="350">
        <f>G33+J33</f>
        <v>312.25</v>
      </c>
      <c r="M33" s="351">
        <f>D33*L33</f>
        <v>0</v>
      </c>
      <c r="N33" s="258"/>
      <c r="O33" s="258"/>
    </row>
    <row r="34" spans="1:15" ht="14.5" customHeight="1" thickBot="1" x14ac:dyDescent="0.35">
      <c r="A34" s="381"/>
      <c r="B34" s="447" t="s">
        <v>113</v>
      </c>
      <c r="C34" s="85" t="s">
        <v>108</v>
      </c>
      <c r="D34" s="50">
        <v>0</v>
      </c>
      <c r="E34" s="51">
        <f>110</f>
        <v>110</v>
      </c>
      <c r="F34" s="52">
        <v>0.2</v>
      </c>
      <c r="G34" s="376">
        <f>E34/(1-F34)</f>
        <v>137.5</v>
      </c>
      <c r="H34" s="376">
        <f>65</f>
        <v>65</v>
      </c>
      <c r="I34" s="83">
        <v>0.15</v>
      </c>
      <c r="J34" s="79">
        <f>H34*(1+I34)</f>
        <v>74.75</v>
      </c>
      <c r="K34" s="382">
        <f>J34*D34</f>
        <v>0</v>
      </c>
      <c r="L34" s="350">
        <f>G34+J34</f>
        <v>212.25</v>
      </c>
      <c r="M34" s="378">
        <f>D34*L34</f>
        <v>0</v>
      </c>
      <c r="N34" s="258"/>
      <c r="O34" s="258"/>
    </row>
    <row r="35" spans="1:15" ht="14.5" customHeight="1" thickBot="1" x14ac:dyDescent="0.35">
      <c r="A35" s="354"/>
      <c r="B35" s="441"/>
      <c r="C35" s="89"/>
      <c r="D35" s="72"/>
      <c r="E35" s="73"/>
      <c r="F35" s="74"/>
      <c r="G35" s="356"/>
      <c r="H35" s="356"/>
      <c r="I35" s="73"/>
      <c r="J35" s="73"/>
      <c r="K35" s="357"/>
      <c r="L35" s="358"/>
      <c r="M35" s="358"/>
      <c r="N35" s="258"/>
      <c r="O35" s="258"/>
    </row>
    <row r="36" spans="1:15" ht="14.15" customHeight="1" x14ac:dyDescent="0.3">
      <c r="A36" s="359">
        <v>2.7</v>
      </c>
      <c r="B36" s="360"/>
      <c r="C36" s="55"/>
      <c r="D36" s="58" t="s">
        <v>114</v>
      </c>
      <c r="E36" s="56"/>
      <c r="F36" s="57"/>
      <c r="G36" s="361"/>
      <c r="H36" s="361"/>
      <c r="I36" s="56"/>
      <c r="J36" s="56"/>
      <c r="K36" s="362"/>
      <c r="L36" s="363"/>
      <c r="M36" s="363"/>
      <c r="N36" s="258"/>
      <c r="O36" s="258"/>
    </row>
    <row r="37" spans="1:15" ht="28" customHeight="1" x14ac:dyDescent="0.3">
      <c r="A37" s="370" t="s">
        <v>115</v>
      </c>
      <c r="B37" s="444" t="s">
        <v>116</v>
      </c>
      <c r="C37" s="7" t="s">
        <v>90</v>
      </c>
      <c r="D37" s="7">
        <v>0</v>
      </c>
      <c r="E37" s="37">
        <f>13501.37*1.2</f>
        <v>16201.644</v>
      </c>
      <c r="F37" s="41">
        <v>0.2</v>
      </c>
      <c r="G37" s="348">
        <f>E37/(1-F37)</f>
        <v>20252.055</v>
      </c>
      <c r="H37" s="371">
        <f>250*2</f>
        <v>500</v>
      </c>
      <c r="I37" s="83">
        <v>0.15</v>
      </c>
      <c r="J37" s="79">
        <f>H37*(1+I37)</f>
        <v>575</v>
      </c>
      <c r="K37" s="349">
        <f>J37*D37</f>
        <v>0</v>
      </c>
      <c r="L37" s="350">
        <f>G37+J37</f>
        <v>20827.055</v>
      </c>
      <c r="M37" s="351">
        <f>D37*L37</f>
        <v>0</v>
      </c>
      <c r="N37" s="258"/>
      <c r="O37" s="258"/>
    </row>
    <row r="38" spans="1:15" ht="28.5" customHeight="1" thickBot="1" x14ac:dyDescent="0.35">
      <c r="A38" s="381" t="s">
        <v>117</v>
      </c>
      <c r="B38" s="446" t="s">
        <v>436</v>
      </c>
      <c r="C38" s="68" t="s">
        <v>90</v>
      </c>
      <c r="D38" s="68">
        <v>5</v>
      </c>
      <c r="E38" s="69">
        <v>2000</v>
      </c>
      <c r="F38" s="52">
        <v>0.2</v>
      </c>
      <c r="G38" s="376">
        <f>E38/(1-F38)</f>
        <v>2500</v>
      </c>
      <c r="H38" s="377">
        <f>250*2</f>
        <v>500</v>
      </c>
      <c r="I38" s="83">
        <v>0.15</v>
      </c>
      <c r="J38" s="79">
        <f>H38*(1+I38)</f>
        <v>575</v>
      </c>
      <c r="K38" s="382">
        <f>J38*D38</f>
        <v>2875</v>
      </c>
      <c r="L38" s="350">
        <f>G38+J38</f>
        <v>3075</v>
      </c>
      <c r="M38" s="378">
        <f>D38*L38</f>
        <v>15375</v>
      </c>
      <c r="N38" s="258"/>
      <c r="O38" s="258"/>
    </row>
    <row r="39" spans="1:15" ht="14.5" customHeight="1" thickBot="1" x14ac:dyDescent="0.35">
      <c r="A39" s="354"/>
      <c r="B39" s="441"/>
      <c r="C39" s="89"/>
      <c r="D39" s="72"/>
      <c r="E39" s="73"/>
      <c r="F39" s="74"/>
      <c r="G39" s="356"/>
      <c r="H39" s="356"/>
      <c r="I39" s="73"/>
      <c r="J39" s="73"/>
      <c r="K39" s="357"/>
      <c r="L39" s="358"/>
      <c r="M39" s="358"/>
      <c r="N39" s="258"/>
      <c r="O39" s="258"/>
    </row>
    <row r="40" spans="1:15" ht="16.5" customHeight="1" x14ac:dyDescent="0.3">
      <c r="A40" s="359">
        <v>2.8</v>
      </c>
      <c r="B40" s="360"/>
      <c r="C40" s="55"/>
      <c r="D40" s="58" t="s">
        <v>119</v>
      </c>
      <c r="E40" s="56"/>
      <c r="F40" s="57"/>
      <c r="G40" s="361"/>
      <c r="H40" s="361"/>
      <c r="I40" s="56"/>
      <c r="J40" s="56"/>
      <c r="K40" s="362"/>
      <c r="L40" s="363"/>
      <c r="M40" s="363"/>
      <c r="N40" s="258"/>
      <c r="O40" s="258"/>
    </row>
    <row r="41" spans="1:15" ht="16.5" customHeight="1" x14ac:dyDescent="0.3">
      <c r="A41" s="384"/>
      <c r="B41" s="342"/>
      <c r="C41" s="248"/>
      <c r="D41" s="1"/>
      <c r="E41" s="36"/>
      <c r="F41" s="41"/>
      <c r="G41" s="348"/>
      <c r="H41" s="348"/>
      <c r="I41" s="83"/>
      <c r="J41" s="79"/>
      <c r="K41" s="349"/>
      <c r="L41" s="350"/>
      <c r="M41" s="351"/>
      <c r="N41" s="258"/>
      <c r="O41" s="258"/>
    </row>
    <row r="42" spans="1:15" ht="14.15" customHeight="1" x14ac:dyDescent="0.3">
      <c r="A42" s="341" t="s">
        <v>120</v>
      </c>
      <c r="B42" s="385" t="s">
        <v>121</v>
      </c>
      <c r="C42" s="248" t="s">
        <v>85</v>
      </c>
      <c r="D42" s="1">
        <v>0</v>
      </c>
      <c r="E42" s="36">
        <v>2500</v>
      </c>
      <c r="F42" s="41">
        <v>0.2</v>
      </c>
      <c r="G42" s="348">
        <f>E42/(1-F42)</f>
        <v>3125</v>
      </c>
      <c r="H42" s="348">
        <f>(250+100)*4</f>
        <v>1400</v>
      </c>
      <c r="I42" s="83">
        <v>0.15</v>
      </c>
      <c r="J42" s="79">
        <f>H42*(1+I42)</f>
        <v>1609.9999999999998</v>
      </c>
      <c r="K42" s="349">
        <f>J42*D42</f>
        <v>0</v>
      </c>
      <c r="L42" s="350">
        <f>G42+J42</f>
        <v>4735</v>
      </c>
      <c r="M42" s="351">
        <f>D42*L42</f>
        <v>0</v>
      </c>
      <c r="N42" s="258"/>
      <c r="O42" s="258"/>
    </row>
    <row r="43" spans="1:15" ht="14.15" customHeight="1" x14ac:dyDescent="0.3">
      <c r="A43" s="341"/>
      <c r="B43" s="448"/>
      <c r="C43" s="88"/>
      <c r="D43" s="1"/>
      <c r="E43" s="36"/>
      <c r="F43" s="41"/>
      <c r="G43" s="348"/>
      <c r="H43" s="348"/>
      <c r="I43" s="79"/>
      <c r="J43" s="79"/>
      <c r="K43" s="349"/>
      <c r="L43" s="350"/>
      <c r="M43" s="351"/>
      <c r="N43" s="258"/>
      <c r="O43" s="258"/>
    </row>
    <row r="44" spans="1:15" ht="14.15" customHeight="1" x14ac:dyDescent="0.3">
      <c r="A44" s="341" t="s">
        <v>122</v>
      </c>
      <c r="B44" s="385" t="s">
        <v>123</v>
      </c>
      <c r="C44" s="248" t="s">
        <v>85</v>
      </c>
      <c r="D44" s="1">
        <f>9 + N(" 3 AC in breakers and 1 Isolator on each inverter in and out")</f>
        <v>9</v>
      </c>
      <c r="E44" s="36">
        <v>1800</v>
      </c>
      <c r="F44" s="41">
        <v>0.2</v>
      </c>
      <c r="G44" s="348">
        <f>E44/(1-F44)</f>
        <v>2250</v>
      </c>
      <c r="H44" s="348">
        <f>(250+100)*4</f>
        <v>1400</v>
      </c>
      <c r="I44" s="83">
        <v>0.15</v>
      </c>
      <c r="J44" s="79">
        <f>H44*(1+I44)</f>
        <v>1609.9999999999998</v>
      </c>
      <c r="K44" s="349">
        <f>J44*D44</f>
        <v>14489.999999999998</v>
      </c>
      <c r="L44" s="350">
        <f>G44+J44</f>
        <v>3860</v>
      </c>
      <c r="M44" s="351">
        <f>D44*L44</f>
        <v>34740</v>
      </c>
      <c r="N44" s="258"/>
      <c r="O44" s="258"/>
    </row>
    <row r="45" spans="1:15" ht="14.15" customHeight="1" x14ac:dyDescent="0.3">
      <c r="A45" s="341"/>
      <c r="B45" s="385"/>
      <c r="C45" s="248"/>
      <c r="D45" s="1"/>
      <c r="E45" s="36"/>
      <c r="F45" s="41"/>
      <c r="G45" s="348"/>
      <c r="H45" s="348"/>
      <c r="I45" s="79"/>
      <c r="J45" s="79"/>
      <c r="K45" s="349"/>
      <c r="L45" s="350"/>
      <c r="M45" s="351"/>
      <c r="N45" s="258"/>
      <c r="O45" s="258"/>
    </row>
    <row r="46" spans="1:15" ht="14.15" customHeight="1" x14ac:dyDescent="0.3">
      <c r="A46" s="341" t="s">
        <v>124</v>
      </c>
      <c r="B46" s="385" t="s">
        <v>125</v>
      </c>
      <c r="C46" s="248" t="s">
        <v>85</v>
      </c>
      <c r="D46" s="1">
        <v>6</v>
      </c>
      <c r="E46" s="36">
        <f>550*1.2</f>
        <v>660</v>
      </c>
      <c r="F46" s="41">
        <v>0.2</v>
      </c>
      <c r="G46" s="348">
        <f>E46/(1-F46)</f>
        <v>825</v>
      </c>
      <c r="H46" s="348">
        <f>(250+100)*4</f>
        <v>1400</v>
      </c>
      <c r="I46" s="83">
        <v>0.15</v>
      </c>
      <c r="J46" s="79">
        <f>H46*(1+I46)</f>
        <v>1609.9999999999998</v>
      </c>
      <c r="K46" s="349">
        <f>J46*D46</f>
        <v>9659.9999999999982</v>
      </c>
      <c r="L46" s="350">
        <f>G46+J46</f>
        <v>2435</v>
      </c>
      <c r="M46" s="351">
        <f>D46*L46</f>
        <v>14610</v>
      </c>
      <c r="N46" s="258"/>
      <c r="O46" s="258"/>
    </row>
    <row r="47" spans="1:15" ht="14.15" customHeight="1" x14ac:dyDescent="0.3">
      <c r="A47" s="341"/>
      <c r="B47" s="387"/>
      <c r="C47" s="88"/>
      <c r="D47" s="1"/>
      <c r="E47" s="36"/>
      <c r="F47" s="41"/>
      <c r="G47" s="348"/>
      <c r="H47" s="348"/>
      <c r="I47" s="79"/>
      <c r="J47" s="79"/>
      <c r="K47" s="349"/>
      <c r="L47" s="350"/>
      <c r="M47" s="351"/>
      <c r="N47" s="258"/>
      <c r="O47" s="258"/>
    </row>
    <row r="48" spans="1:15" ht="14.5" customHeight="1" thickBot="1" x14ac:dyDescent="0.35">
      <c r="A48" s="381" t="s">
        <v>126</v>
      </c>
      <c r="B48" s="388" t="s">
        <v>127</v>
      </c>
      <c r="C48" s="85" t="s">
        <v>85</v>
      </c>
      <c r="D48" s="50">
        <f>6 + N("Putting this here for some reason")</f>
        <v>6</v>
      </c>
      <c r="E48" s="51">
        <f>550*1.2</f>
        <v>660</v>
      </c>
      <c r="F48" s="52">
        <v>0.2</v>
      </c>
      <c r="G48" s="376">
        <f>E48/(1-F48)</f>
        <v>825</v>
      </c>
      <c r="H48" s="376">
        <f>(250+100)*4</f>
        <v>1400</v>
      </c>
      <c r="I48" s="83">
        <v>0.15</v>
      </c>
      <c r="J48" s="79">
        <f>H48*(1+I48)</f>
        <v>1609.9999999999998</v>
      </c>
      <c r="K48" s="349">
        <f>J48*D48</f>
        <v>9659.9999999999982</v>
      </c>
      <c r="L48" s="350">
        <f>G48+J48</f>
        <v>2435</v>
      </c>
      <c r="M48" s="378">
        <f>D48*L48</f>
        <v>14610</v>
      </c>
      <c r="N48" s="258"/>
      <c r="O48" s="258"/>
    </row>
    <row r="49" spans="1:15" ht="14.5" customHeight="1" thickBot="1" x14ac:dyDescent="0.35">
      <c r="A49" s="354"/>
      <c r="B49" s="441"/>
      <c r="C49" s="89"/>
      <c r="D49" s="72"/>
      <c r="E49" s="73"/>
      <c r="F49" s="74"/>
      <c r="G49" s="356"/>
      <c r="H49" s="356"/>
      <c r="I49" s="73"/>
      <c r="J49" s="73"/>
      <c r="K49" s="357"/>
      <c r="L49" s="358"/>
      <c r="M49" s="358"/>
      <c r="N49" s="258"/>
      <c r="O49" s="258"/>
    </row>
    <row r="50" spans="1:15" ht="16.5" customHeight="1" x14ac:dyDescent="0.3">
      <c r="A50" s="359">
        <v>2.9</v>
      </c>
      <c r="B50" s="367"/>
      <c r="C50" s="55"/>
      <c r="D50" s="58" t="s">
        <v>128</v>
      </c>
      <c r="E50" s="56"/>
      <c r="F50" s="57"/>
      <c r="G50" s="361"/>
      <c r="H50" s="361"/>
      <c r="I50" s="56"/>
      <c r="J50" s="56"/>
      <c r="K50" s="362"/>
      <c r="L50" s="363"/>
      <c r="M50" s="363"/>
      <c r="N50" s="258"/>
      <c r="O50" s="258"/>
    </row>
    <row r="51" spans="1:15" ht="16.5" customHeight="1" x14ac:dyDescent="0.3">
      <c r="A51" s="341"/>
      <c r="B51" s="342"/>
      <c r="C51" s="248"/>
      <c r="D51" s="1"/>
      <c r="E51" s="36"/>
      <c r="F51" s="41"/>
      <c r="G51" s="348"/>
      <c r="H51" s="348"/>
      <c r="I51" s="79"/>
      <c r="J51" s="79"/>
      <c r="K51" s="349"/>
      <c r="L51" s="350"/>
      <c r="M51" s="351"/>
      <c r="N51" s="258"/>
      <c r="O51" s="258"/>
    </row>
    <row r="52" spans="1:15" ht="14.15" customHeight="1" x14ac:dyDescent="0.3">
      <c r="A52" s="341" t="s">
        <v>129</v>
      </c>
      <c r="B52" s="385" t="s">
        <v>130</v>
      </c>
      <c r="C52" s="248" t="s">
        <v>85</v>
      </c>
      <c r="D52" s="1">
        <v>0</v>
      </c>
      <c r="E52" s="36">
        <v>2500</v>
      </c>
      <c r="F52" s="41">
        <v>0.2</v>
      </c>
      <c r="G52" s="348">
        <f>E52/(1-F52)</f>
        <v>3125</v>
      </c>
      <c r="H52" s="348">
        <f>250*1</f>
        <v>250</v>
      </c>
      <c r="I52" s="83">
        <v>0.15</v>
      </c>
      <c r="J52" s="79">
        <f>H52*(1+I52)</f>
        <v>287.5</v>
      </c>
      <c r="K52" s="349">
        <f>J52*D52</f>
        <v>0</v>
      </c>
      <c r="L52" s="350">
        <f>G52+J52</f>
        <v>3412.5</v>
      </c>
      <c r="M52" s="351">
        <f>D52*L52</f>
        <v>0</v>
      </c>
      <c r="N52" s="258"/>
      <c r="O52" s="258"/>
    </row>
    <row r="53" spans="1:15" ht="14.15" customHeight="1" x14ac:dyDescent="0.3">
      <c r="A53" s="341"/>
      <c r="B53" s="385"/>
      <c r="C53" s="248"/>
      <c r="D53" s="1"/>
      <c r="E53" s="36"/>
      <c r="F53" s="41"/>
      <c r="G53" s="348"/>
      <c r="H53" s="348"/>
      <c r="I53" s="79"/>
      <c r="J53" s="79"/>
      <c r="K53" s="349"/>
      <c r="L53" s="350"/>
      <c r="M53" s="351"/>
      <c r="N53" s="258"/>
      <c r="O53" s="258"/>
    </row>
    <row r="54" spans="1:15" ht="14.15" customHeight="1" x14ac:dyDescent="0.3">
      <c r="A54" s="341" t="s">
        <v>131</v>
      </c>
      <c r="B54" s="385" t="s">
        <v>132</v>
      </c>
      <c r="C54" s="248" t="s">
        <v>85</v>
      </c>
      <c r="D54" s="1">
        <v>6</v>
      </c>
      <c r="E54" s="36">
        <v>5729</v>
      </c>
      <c r="F54" s="41">
        <v>0.2</v>
      </c>
      <c r="G54" s="348">
        <f>E54/(1-F54)</f>
        <v>7161.25</v>
      </c>
      <c r="H54" s="348">
        <v>250</v>
      </c>
      <c r="I54" s="83">
        <v>0.15</v>
      </c>
      <c r="J54" s="79">
        <f>H54*(1+I54)</f>
        <v>287.5</v>
      </c>
      <c r="K54" s="349">
        <f>J54*D54</f>
        <v>1725</v>
      </c>
      <c r="L54" s="350">
        <f>G54+J54</f>
        <v>7448.75</v>
      </c>
      <c r="M54" s="351">
        <f>D54*L54</f>
        <v>44692.5</v>
      </c>
      <c r="N54" s="258"/>
      <c r="O54" s="258"/>
    </row>
    <row r="55" spans="1:15" ht="14.15" customHeight="1" x14ac:dyDescent="0.3">
      <c r="A55" s="341"/>
      <c r="B55" s="387"/>
      <c r="C55" s="88"/>
      <c r="D55" s="1"/>
      <c r="E55" s="36"/>
      <c r="F55" s="41"/>
      <c r="G55" s="348"/>
      <c r="H55" s="348"/>
      <c r="I55" s="79"/>
      <c r="J55" s="79"/>
      <c r="K55" s="349"/>
      <c r="L55" s="350"/>
      <c r="M55" s="351"/>
      <c r="N55" s="258"/>
      <c r="O55" s="258"/>
    </row>
    <row r="56" spans="1:15" ht="14.15" customHeight="1" x14ac:dyDescent="0.3">
      <c r="A56" s="341" t="s">
        <v>133</v>
      </c>
      <c r="B56" s="387" t="s">
        <v>134</v>
      </c>
      <c r="C56" s="248" t="s">
        <v>85</v>
      </c>
      <c r="D56" s="1">
        <v>6</v>
      </c>
      <c r="E56" s="36">
        <f>5729</f>
        <v>5729</v>
      </c>
      <c r="F56" s="41">
        <v>0.2</v>
      </c>
      <c r="G56" s="348">
        <f>E56/(1-F56)</f>
        <v>7161.25</v>
      </c>
      <c r="H56" s="348">
        <v>250</v>
      </c>
      <c r="I56" s="83">
        <v>0.15</v>
      </c>
      <c r="J56" s="79">
        <f>H56*(1+I56)</f>
        <v>287.5</v>
      </c>
      <c r="K56" s="349">
        <f>J56*D56</f>
        <v>1725</v>
      </c>
      <c r="L56" s="350">
        <f>G56+J56</f>
        <v>7448.75</v>
      </c>
      <c r="M56" s="351">
        <f>D56*L56</f>
        <v>44692.5</v>
      </c>
      <c r="N56" s="258"/>
      <c r="O56" s="258"/>
    </row>
    <row r="57" spans="1:15" ht="14.15" customHeight="1" x14ac:dyDescent="0.3">
      <c r="A57" s="341"/>
      <c r="B57" s="387"/>
      <c r="C57" s="248"/>
      <c r="D57" s="1"/>
      <c r="E57" s="36"/>
      <c r="F57" s="41"/>
      <c r="G57" s="348"/>
      <c r="H57" s="348"/>
      <c r="I57" s="83"/>
      <c r="J57" s="79"/>
      <c r="K57" s="349"/>
      <c r="L57" s="350"/>
      <c r="M57" s="351"/>
      <c r="N57" s="258"/>
      <c r="O57" s="258"/>
    </row>
    <row r="58" spans="1:15" ht="14.15" customHeight="1" x14ac:dyDescent="0.3">
      <c r="A58" s="341"/>
      <c r="B58" s="385" t="s">
        <v>425</v>
      </c>
      <c r="C58" s="248" t="s">
        <v>85</v>
      </c>
      <c r="D58" s="1">
        <v>3</v>
      </c>
      <c r="E58" s="36">
        <f>40000*1.2</f>
        <v>48000</v>
      </c>
      <c r="F58" s="41">
        <v>0.2</v>
      </c>
      <c r="G58" s="348">
        <f>E58/(1-F58)</f>
        <v>60000</v>
      </c>
      <c r="H58" s="348">
        <v>250</v>
      </c>
      <c r="I58" s="83">
        <v>0.15</v>
      </c>
      <c r="J58" s="79">
        <f>H58*(1+I58)</f>
        <v>287.5</v>
      </c>
      <c r="K58" s="349">
        <f>J58*D58</f>
        <v>862.5</v>
      </c>
      <c r="L58" s="350">
        <f>G58+J58</f>
        <v>60287.5</v>
      </c>
      <c r="M58" s="351">
        <f>D58*L58</f>
        <v>180862.5</v>
      </c>
      <c r="N58" s="258"/>
      <c r="O58" s="258"/>
    </row>
    <row r="59" spans="1:15" ht="14.15" customHeight="1" x14ac:dyDescent="0.3">
      <c r="A59" s="341"/>
      <c r="B59" s="387"/>
      <c r="C59" s="87"/>
      <c r="D59" s="1"/>
      <c r="E59" s="36"/>
      <c r="F59" s="41"/>
      <c r="G59" s="348"/>
      <c r="H59" s="348"/>
      <c r="I59" s="79"/>
      <c r="J59" s="79"/>
      <c r="K59" s="349"/>
      <c r="L59" s="350"/>
      <c r="M59" s="351"/>
      <c r="N59" s="258"/>
      <c r="O59" s="258"/>
    </row>
    <row r="60" spans="1:15" ht="14.15" customHeight="1" x14ac:dyDescent="0.3">
      <c r="A60" s="341"/>
      <c r="B60" s="385" t="s">
        <v>426</v>
      </c>
      <c r="C60" s="87" t="s">
        <v>427</v>
      </c>
      <c r="D60" s="1">
        <v>0</v>
      </c>
      <c r="E60" s="36">
        <v>50000</v>
      </c>
      <c r="F60" s="41">
        <v>0.2</v>
      </c>
      <c r="G60" s="348">
        <f>E60/(1-F60)</f>
        <v>62500</v>
      </c>
      <c r="H60" s="348">
        <v>250</v>
      </c>
      <c r="I60" s="83">
        <v>0.15</v>
      </c>
      <c r="J60" s="79">
        <f>H60*(1+I60)</f>
        <v>287.5</v>
      </c>
      <c r="K60" s="349">
        <f>J60*D60</f>
        <v>0</v>
      </c>
      <c r="L60" s="350">
        <f>G60+J60</f>
        <v>62787.5</v>
      </c>
      <c r="M60" s="351">
        <f>D60*L60</f>
        <v>0</v>
      </c>
      <c r="N60" s="258"/>
      <c r="O60" s="258"/>
    </row>
    <row r="61" spans="1:15" ht="14.15" customHeight="1" x14ac:dyDescent="0.3">
      <c r="A61" s="341"/>
      <c r="B61" s="387"/>
      <c r="C61" s="87"/>
      <c r="D61" s="1"/>
      <c r="E61" s="36"/>
      <c r="F61" s="41"/>
      <c r="G61" s="348"/>
      <c r="H61" s="348"/>
      <c r="I61" s="79"/>
      <c r="J61" s="79"/>
      <c r="K61" s="349"/>
      <c r="L61" s="350"/>
      <c r="M61" s="351"/>
      <c r="N61" s="258"/>
      <c r="O61" s="258"/>
    </row>
    <row r="62" spans="1:15" ht="28" customHeight="1" x14ac:dyDescent="0.3">
      <c r="A62" s="341" t="s">
        <v>135</v>
      </c>
      <c r="B62" s="385" t="s">
        <v>136</v>
      </c>
      <c r="C62" s="248" t="s">
        <v>85</v>
      </c>
      <c r="D62" s="1">
        <v>3</v>
      </c>
      <c r="E62" s="36">
        <v>350</v>
      </c>
      <c r="F62" s="41">
        <v>0.2</v>
      </c>
      <c r="G62" s="348">
        <f>E62/(1-F62)</f>
        <v>437.5</v>
      </c>
      <c r="H62" s="348">
        <v>250</v>
      </c>
      <c r="I62" s="83">
        <v>0.15</v>
      </c>
      <c r="J62" s="79">
        <f>H62*(1+I62)</f>
        <v>287.5</v>
      </c>
      <c r="K62" s="349">
        <f>J62*D62</f>
        <v>862.5</v>
      </c>
      <c r="L62" s="350">
        <f>G62+J62</f>
        <v>725</v>
      </c>
      <c r="M62" s="351">
        <f>D62*L62</f>
        <v>2175</v>
      </c>
      <c r="N62" s="258"/>
      <c r="O62" s="258"/>
    </row>
    <row r="63" spans="1:15" ht="14.15" customHeight="1" x14ac:dyDescent="0.3">
      <c r="A63" s="341"/>
      <c r="B63" s="387"/>
      <c r="C63" s="88"/>
      <c r="D63" s="1"/>
      <c r="E63" s="36"/>
      <c r="F63" s="41"/>
      <c r="G63" s="348"/>
      <c r="H63" s="348"/>
      <c r="I63" s="79"/>
      <c r="J63" s="79"/>
      <c r="K63" s="349"/>
      <c r="L63" s="350"/>
      <c r="M63" s="351"/>
      <c r="N63" s="258"/>
      <c r="O63" s="258"/>
    </row>
    <row r="64" spans="1:15" ht="14.15" customHeight="1" x14ac:dyDescent="0.3">
      <c r="A64" s="341" t="s">
        <v>137</v>
      </c>
      <c r="B64" s="385" t="s">
        <v>138</v>
      </c>
      <c r="C64" s="248" t="s">
        <v>108</v>
      </c>
      <c r="D64" s="1">
        <v>20</v>
      </c>
      <c r="E64" s="36">
        <f>35</f>
        <v>35</v>
      </c>
      <c r="F64" s="41">
        <v>0.2</v>
      </c>
      <c r="G64" s="348">
        <f>E64/(1-F64)</f>
        <v>43.75</v>
      </c>
      <c r="H64" s="348">
        <f>(65*3)</f>
        <v>195</v>
      </c>
      <c r="I64" s="83">
        <v>0.15</v>
      </c>
      <c r="J64" s="79">
        <f>H64*(1+I64)</f>
        <v>224.24999999999997</v>
      </c>
      <c r="K64" s="349">
        <f>J64*D64</f>
        <v>4484.9999999999991</v>
      </c>
      <c r="L64" s="350">
        <f>G64+J64</f>
        <v>268</v>
      </c>
      <c r="M64" s="351">
        <f>D64*L64</f>
        <v>5360</v>
      </c>
      <c r="N64" s="258"/>
      <c r="O64" s="258"/>
    </row>
    <row r="65" spans="1:15" ht="14.15" customHeight="1" x14ac:dyDescent="0.3">
      <c r="A65" s="341"/>
      <c r="B65" s="387"/>
      <c r="C65" s="87"/>
      <c r="D65" s="1"/>
      <c r="E65" s="36"/>
      <c r="F65" s="41"/>
      <c r="G65" s="348"/>
      <c r="H65" s="348"/>
      <c r="I65" s="79"/>
      <c r="J65" s="79"/>
      <c r="K65" s="349"/>
      <c r="L65" s="350"/>
      <c r="M65" s="351"/>
      <c r="N65" s="258"/>
      <c r="O65" s="258"/>
    </row>
    <row r="66" spans="1:15" ht="14.5" customHeight="1" thickBot="1" x14ac:dyDescent="0.35">
      <c r="A66" s="341" t="s">
        <v>139</v>
      </c>
      <c r="B66" s="385" t="s">
        <v>140</v>
      </c>
      <c r="C66" s="248" t="s">
        <v>42</v>
      </c>
      <c r="D66" s="1">
        <v>1</v>
      </c>
      <c r="E66" s="36">
        <v>1</v>
      </c>
      <c r="F66" s="41">
        <v>0.2</v>
      </c>
      <c r="G66" s="348">
        <f>E66/(1-F66)</f>
        <v>1.25</v>
      </c>
      <c r="H66" s="348">
        <f>2500*3</f>
        <v>7500</v>
      </c>
      <c r="I66" s="83">
        <v>0.15</v>
      </c>
      <c r="J66" s="79">
        <f>H66*(1+I66)</f>
        <v>8625</v>
      </c>
      <c r="K66" s="349">
        <f>J66*D66</f>
        <v>8625</v>
      </c>
      <c r="L66" s="350">
        <f>G66+J66</f>
        <v>8626.25</v>
      </c>
      <c r="M66" s="351">
        <f>D66*L66</f>
        <v>8626.25</v>
      </c>
      <c r="N66" s="258"/>
      <c r="O66" s="258"/>
    </row>
    <row r="67" spans="1:15" ht="14.5" customHeight="1" thickBot="1" x14ac:dyDescent="0.35">
      <c r="A67" s="354"/>
      <c r="B67" s="441"/>
      <c r="C67" s="89"/>
      <c r="D67" s="72"/>
      <c r="E67" s="73"/>
      <c r="F67" s="74"/>
      <c r="G67" s="356"/>
      <c r="H67" s="356"/>
      <c r="I67" s="73"/>
      <c r="J67" s="73"/>
      <c r="K67" s="357"/>
      <c r="L67" s="358"/>
      <c r="M67" s="358"/>
      <c r="N67" s="258"/>
      <c r="O67" s="258"/>
    </row>
    <row r="68" spans="1:15" ht="14.15" customHeight="1" x14ac:dyDescent="0.3">
      <c r="A68" s="389">
        <v>2.1</v>
      </c>
      <c r="B68" s="390"/>
      <c r="C68" s="90"/>
      <c r="D68" s="65" t="s">
        <v>141</v>
      </c>
      <c r="E68" s="53"/>
      <c r="F68" s="54"/>
      <c r="G68" s="391"/>
      <c r="H68" s="391"/>
      <c r="I68" s="53"/>
      <c r="J68" s="53"/>
      <c r="K68" s="392"/>
      <c r="L68" s="393"/>
      <c r="M68" s="393"/>
      <c r="N68" s="258"/>
      <c r="O68" s="258"/>
    </row>
    <row r="69" spans="1:15" ht="28" customHeight="1" x14ac:dyDescent="0.3">
      <c r="A69" s="370" t="s">
        <v>142</v>
      </c>
      <c r="B69" s="444" t="s">
        <v>143</v>
      </c>
      <c r="C69" s="7" t="s">
        <v>85</v>
      </c>
      <c r="D69" s="7">
        <v>5</v>
      </c>
      <c r="E69" s="37">
        <v>10000</v>
      </c>
      <c r="F69" s="41">
        <v>0.16</v>
      </c>
      <c r="G69" s="348">
        <f>E69/(1-F69)</f>
        <v>11904.761904761905</v>
      </c>
      <c r="H69" s="371">
        <v>200</v>
      </c>
      <c r="I69" s="83">
        <v>0.15</v>
      </c>
      <c r="J69" s="79">
        <f>H69*(1+I69)</f>
        <v>229.99999999999997</v>
      </c>
      <c r="K69" s="349">
        <f>J69*D69</f>
        <v>1149.9999999999998</v>
      </c>
      <c r="L69" s="350">
        <f>G69+J69</f>
        <v>12134.761904761905</v>
      </c>
      <c r="M69" s="351">
        <f>D69*L69</f>
        <v>60673.809523809527</v>
      </c>
      <c r="N69" s="258"/>
      <c r="O69" s="258"/>
    </row>
    <row r="70" spans="1:15" ht="14.15" customHeight="1" x14ac:dyDescent="0.3">
      <c r="A70" s="394"/>
      <c r="B70" s="395"/>
      <c r="C70" s="248"/>
      <c r="D70" s="248"/>
      <c r="E70" s="36"/>
      <c r="F70" s="41"/>
      <c r="G70" s="348"/>
      <c r="H70" s="348"/>
      <c r="I70" s="79"/>
      <c r="J70" s="79"/>
      <c r="K70" s="349"/>
      <c r="L70" s="350"/>
      <c r="M70" s="351"/>
      <c r="N70" s="258"/>
      <c r="O70" s="258"/>
    </row>
    <row r="71" spans="1:15" ht="28.5" customHeight="1" thickBot="1" x14ac:dyDescent="0.35">
      <c r="A71" s="396" t="s">
        <v>144</v>
      </c>
      <c r="B71" s="446" t="s">
        <v>145</v>
      </c>
      <c r="C71" s="68" t="s">
        <v>85</v>
      </c>
      <c r="D71" s="68">
        <v>5</v>
      </c>
      <c r="E71" s="69">
        <v>7500</v>
      </c>
      <c r="F71" s="52">
        <v>0.16</v>
      </c>
      <c r="G71" s="376">
        <f>E71/(1-F71)</f>
        <v>8928.5714285714294</v>
      </c>
      <c r="H71" s="377">
        <v>200</v>
      </c>
      <c r="I71" s="83">
        <v>0.15</v>
      </c>
      <c r="J71" s="79">
        <f>H71*(1+I71)</f>
        <v>229.99999999999997</v>
      </c>
      <c r="K71" s="382">
        <f>J71*D71</f>
        <v>1149.9999999999998</v>
      </c>
      <c r="L71" s="350">
        <f>G71+J71</f>
        <v>9158.5714285714294</v>
      </c>
      <c r="M71" s="378">
        <f>D71*L71</f>
        <v>45792.857142857145</v>
      </c>
      <c r="N71" s="258"/>
      <c r="O71" s="258"/>
    </row>
    <row r="72" spans="1:15" ht="14.5" customHeight="1" thickBot="1" x14ac:dyDescent="0.35">
      <c r="A72" s="397"/>
      <c r="B72" s="449"/>
      <c r="C72" s="89"/>
      <c r="D72" s="72"/>
      <c r="E72" s="73"/>
      <c r="F72" s="74"/>
      <c r="G72" s="356"/>
      <c r="H72" s="356"/>
      <c r="I72" s="73"/>
      <c r="J72" s="73"/>
      <c r="K72" s="357"/>
      <c r="L72" s="358"/>
      <c r="M72" s="358"/>
      <c r="N72" s="258"/>
      <c r="O72" s="258"/>
    </row>
    <row r="73" spans="1:15" ht="14.15" customHeight="1" x14ac:dyDescent="0.3">
      <c r="A73" s="359">
        <v>2.11</v>
      </c>
      <c r="B73" s="450"/>
      <c r="C73" s="91"/>
      <c r="D73" s="58" t="s">
        <v>146</v>
      </c>
      <c r="E73" s="56"/>
      <c r="F73" s="57"/>
      <c r="G73" s="361"/>
      <c r="H73" s="361"/>
      <c r="I73" s="56"/>
      <c r="J73" s="56"/>
      <c r="K73" s="362"/>
      <c r="L73" s="363"/>
      <c r="M73" s="363"/>
      <c r="N73" s="258"/>
      <c r="O73" s="258"/>
    </row>
    <row r="74" spans="1:15" ht="14.15" customHeight="1" x14ac:dyDescent="0.3">
      <c r="A74" s="341"/>
      <c r="B74" s="444"/>
      <c r="C74" s="92"/>
      <c r="D74" s="1"/>
      <c r="E74" s="36"/>
      <c r="F74" s="41"/>
      <c r="G74" s="348"/>
      <c r="H74" s="348"/>
      <c r="I74" s="79"/>
      <c r="J74" s="79"/>
      <c r="K74" s="349"/>
      <c r="L74" s="350"/>
      <c r="M74" s="351"/>
      <c r="N74" s="258"/>
      <c r="O74" s="258"/>
    </row>
    <row r="75" spans="1:15" ht="14.15" customHeight="1" x14ac:dyDescent="0.3">
      <c r="A75" s="341"/>
      <c r="B75" s="443" t="s">
        <v>147</v>
      </c>
      <c r="C75" s="88"/>
      <c r="D75" s="1"/>
      <c r="E75" s="36"/>
      <c r="F75" s="41"/>
      <c r="G75" s="348"/>
      <c r="H75" s="348"/>
      <c r="I75" s="79"/>
      <c r="J75" s="79"/>
      <c r="K75" s="349"/>
      <c r="L75" s="350"/>
      <c r="M75" s="351"/>
      <c r="N75" s="258"/>
      <c r="O75" s="258"/>
    </row>
    <row r="76" spans="1:15" ht="14.15" customHeight="1" x14ac:dyDescent="0.3">
      <c r="A76" s="341"/>
      <c r="B76" s="448"/>
      <c r="C76" s="88"/>
      <c r="D76" s="1"/>
      <c r="E76" s="36"/>
      <c r="F76" s="41"/>
      <c r="G76" s="348"/>
      <c r="H76" s="348"/>
      <c r="I76" s="79"/>
      <c r="J76" s="79"/>
      <c r="K76" s="349"/>
      <c r="L76" s="350"/>
      <c r="M76" s="351"/>
      <c r="N76" s="258"/>
      <c r="O76" s="258"/>
    </row>
    <row r="77" spans="1:15" ht="42" customHeight="1" x14ac:dyDescent="0.3">
      <c r="A77" s="341"/>
      <c r="B77" s="448" t="s">
        <v>148</v>
      </c>
      <c r="C77" s="88"/>
      <c r="D77" s="248"/>
      <c r="E77" s="36"/>
      <c r="F77" s="41"/>
      <c r="G77" s="348"/>
      <c r="H77" s="348"/>
      <c r="I77" s="79"/>
      <c r="J77" s="79"/>
      <c r="K77" s="349"/>
      <c r="L77" s="350"/>
      <c r="M77" s="351"/>
      <c r="N77" s="258"/>
      <c r="O77" s="258"/>
    </row>
    <row r="78" spans="1:15" ht="14.15" customHeight="1" x14ac:dyDescent="0.3">
      <c r="A78" s="384"/>
      <c r="B78" s="443"/>
      <c r="C78" s="88"/>
      <c r="D78" s="1"/>
      <c r="E78" s="36"/>
      <c r="F78" s="41"/>
      <c r="G78" s="348"/>
      <c r="H78" s="400"/>
      <c r="I78" s="81"/>
      <c r="J78" s="81"/>
      <c r="K78" s="349"/>
      <c r="L78" s="350"/>
      <c r="M78" s="351"/>
      <c r="N78" s="258"/>
      <c r="O78" s="258"/>
    </row>
    <row r="79" spans="1:15" ht="14.15" customHeight="1" x14ac:dyDescent="0.3">
      <c r="A79" s="384"/>
      <c r="B79" s="443" t="s">
        <v>282</v>
      </c>
      <c r="C79" s="88" t="s">
        <v>108</v>
      </c>
      <c r="D79" s="1">
        <v>0</v>
      </c>
      <c r="E79" s="36">
        <v>1520</v>
      </c>
      <c r="F79" s="41">
        <v>0.25</v>
      </c>
      <c r="G79" s="348">
        <f t="shared" ref="G79:G85" si="0">E79/(1-F79)</f>
        <v>2026.6666666666667</v>
      </c>
      <c r="H79" s="348">
        <v>25</v>
      </c>
      <c r="I79" s="83">
        <v>0.15</v>
      </c>
      <c r="J79" s="79">
        <f t="shared" ref="J79:J85" si="1">H79*(1+I79)</f>
        <v>28.749999999999996</v>
      </c>
      <c r="K79" s="349">
        <f t="shared" ref="K79:K85" si="2">J79*D79</f>
        <v>0</v>
      </c>
      <c r="L79" s="350">
        <f t="shared" ref="L79:L85" si="3">G79+J79</f>
        <v>2055.4166666666665</v>
      </c>
      <c r="M79" s="351">
        <f t="shared" ref="M79:M85" si="4">D79*L79</f>
        <v>0</v>
      </c>
      <c r="N79" s="258"/>
      <c r="O79" s="258"/>
    </row>
    <row r="80" spans="1:15" ht="14.15" customHeight="1" x14ac:dyDescent="0.3">
      <c r="A80" s="341" t="s">
        <v>149</v>
      </c>
      <c r="B80" s="443" t="s">
        <v>150</v>
      </c>
      <c r="C80" s="88" t="s">
        <v>108</v>
      </c>
      <c r="D80" s="1">
        <f>10 + N("2m per AC in for inverters")</f>
        <v>10</v>
      </c>
      <c r="E80" s="36">
        <v>947.75</v>
      </c>
      <c r="F80" s="41">
        <v>0.25</v>
      </c>
      <c r="G80" s="348">
        <f t="shared" si="0"/>
        <v>1263.6666666666667</v>
      </c>
      <c r="H80" s="348">
        <v>25</v>
      </c>
      <c r="I80" s="83">
        <v>0.15</v>
      </c>
      <c r="J80" s="79">
        <f t="shared" si="1"/>
        <v>28.749999999999996</v>
      </c>
      <c r="K80" s="349">
        <f t="shared" si="2"/>
        <v>287.49999999999994</v>
      </c>
      <c r="L80" s="350">
        <f t="shared" si="3"/>
        <v>1292.4166666666667</v>
      </c>
      <c r="M80" s="351">
        <f t="shared" si="4"/>
        <v>12924.166666666668</v>
      </c>
      <c r="N80" s="258"/>
      <c r="O80" s="258"/>
    </row>
    <row r="81" spans="1:15" ht="14.15" customHeight="1" x14ac:dyDescent="0.3">
      <c r="A81" s="341" t="s">
        <v>151</v>
      </c>
      <c r="B81" s="443" t="s">
        <v>152</v>
      </c>
      <c r="C81" s="88" t="s">
        <v>108</v>
      </c>
      <c r="D81" s="1">
        <v>0</v>
      </c>
      <c r="E81" s="36">
        <v>686.12</v>
      </c>
      <c r="F81" s="41">
        <v>0.25</v>
      </c>
      <c r="G81" s="348">
        <f t="shared" si="0"/>
        <v>914.82666666666671</v>
      </c>
      <c r="H81" s="348">
        <v>25</v>
      </c>
      <c r="I81" s="83">
        <v>0.15</v>
      </c>
      <c r="J81" s="79">
        <f t="shared" si="1"/>
        <v>28.749999999999996</v>
      </c>
      <c r="K81" s="349">
        <f t="shared" si="2"/>
        <v>0</v>
      </c>
      <c r="L81" s="350">
        <f t="shared" si="3"/>
        <v>943.57666666666671</v>
      </c>
      <c r="M81" s="351">
        <f t="shared" si="4"/>
        <v>0</v>
      </c>
      <c r="N81" s="258"/>
      <c r="O81" s="258"/>
    </row>
    <row r="82" spans="1:15" ht="14.15" customHeight="1" x14ac:dyDescent="0.3">
      <c r="A82" s="341" t="s">
        <v>153</v>
      </c>
      <c r="B82" s="443" t="s">
        <v>154</v>
      </c>
      <c r="C82" s="88" t="s">
        <v>108</v>
      </c>
      <c r="D82" s="1">
        <v>0</v>
      </c>
      <c r="E82" s="36">
        <v>538.9</v>
      </c>
      <c r="F82" s="41">
        <v>0.25</v>
      </c>
      <c r="G82" s="348">
        <f t="shared" si="0"/>
        <v>718.5333333333333</v>
      </c>
      <c r="H82" s="348">
        <v>25</v>
      </c>
      <c r="I82" s="83">
        <v>0.15</v>
      </c>
      <c r="J82" s="79">
        <f t="shared" si="1"/>
        <v>28.749999999999996</v>
      </c>
      <c r="K82" s="349">
        <f t="shared" si="2"/>
        <v>0</v>
      </c>
      <c r="L82" s="350">
        <f t="shared" si="3"/>
        <v>747.2833333333333</v>
      </c>
      <c r="M82" s="351">
        <f t="shared" si="4"/>
        <v>0</v>
      </c>
      <c r="N82" s="258"/>
      <c r="O82" s="258"/>
    </row>
    <row r="83" spans="1:15" ht="14.15" customHeight="1" x14ac:dyDescent="0.3">
      <c r="A83" s="341" t="s">
        <v>155</v>
      </c>
      <c r="B83" s="443" t="s">
        <v>156</v>
      </c>
      <c r="C83" s="87" t="s">
        <v>108</v>
      </c>
      <c r="D83" s="1">
        <v>0</v>
      </c>
      <c r="E83" s="36">
        <v>450</v>
      </c>
      <c r="F83" s="41">
        <v>0.25</v>
      </c>
      <c r="G83" s="348">
        <f t="shared" si="0"/>
        <v>600</v>
      </c>
      <c r="H83" s="348">
        <v>25</v>
      </c>
      <c r="I83" s="83">
        <v>0.15</v>
      </c>
      <c r="J83" s="79">
        <f t="shared" si="1"/>
        <v>28.749999999999996</v>
      </c>
      <c r="K83" s="349">
        <f t="shared" si="2"/>
        <v>0</v>
      </c>
      <c r="L83" s="350">
        <f t="shared" si="3"/>
        <v>628.75</v>
      </c>
      <c r="M83" s="351">
        <f t="shared" si="4"/>
        <v>0</v>
      </c>
      <c r="N83" s="258"/>
      <c r="O83" s="258"/>
    </row>
    <row r="84" spans="1:15" ht="14.15" customHeight="1" x14ac:dyDescent="0.3">
      <c r="A84" s="341" t="s">
        <v>157</v>
      </c>
      <c r="B84" s="443" t="s">
        <v>158</v>
      </c>
      <c r="C84" s="87" t="s">
        <v>108</v>
      </c>
      <c r="D84" s="1">
        <f>60 + N("3 sub DB's, 20m each")</f>
        <v>60</v>
      </c>
      <c r="E84" s="36">
        <v>380</v>
      </c>
      <c r="F84" s="41">
        <v>0.25</v>
      </c>
      <c r="G84" s="348">
        <f t="shared" si="0"/>
        <v>506.66666666666669</v>
      </c>
      <c r="H84" s="348">
        <v>25</v>
      </c>
      <c r="I84" s="83">
        <v>0.15</v>
      </c>
      <c r="J84" s="79">
        <f t="shared" si="1"/>
        <v>28.749999999999996</v>
      </c>
      <c r="K84" s="349">
        <f t="shared" si="2"/>
        <v>1724.9999999999998</v>
      </c>
      <c r="L84" s="350">
        <f t="shared" si="3"/>
        <v>535.41666666666663</v>
      </c>
      <c r="M84" s="351">
        <f t="shared" si="4"/>
        <v>32124.999999999996</v>
      </c>
      <c r="N84" s="258"/>
      <c r="O84" s="258"/>
    </row>
    <row r="85" spans="1:15" ht="14.5" customHeight="1" thickBot="1" x14ac:dyDescent="0.35">
      <c r="A85" s="381" t="s">
        <v>159</v>
      </c>
      <c r="B85" s="446" t="s">
        <v>160</v>
      </c>
      <c r="C85" s="86" t="s">
        <v>108</v>
      </c>
      <c r="D85" s="50">
        <v>0</v>
      </c>
      <c r="E85" s="51">
        <f>215</f>
        <v>215</v>
      </c>
      <c r="F85" s="52">
        <v>0.25</v>
      </c>
      <c r="G85" s="376">
        <f t="shared" si="0"/>
        <v>286.66666666666669</v>
      </c>
      <c r="H85" s="376">
        <v>25</v>
      </c>
      <c r="I85" s="83">
        <v>0.15</v>
      </c>
      <c r="J85" s="79">
        <f t="shared" si="1"/>
        <v>28.749999999999996</v>
      </c>
      <c r="K85" s="349">
        <f t="shared" si="2"/>
        <v>0</v>
      </c>
      <c r="L85" s="350">
        <f t="shared" si="3"/>
        <v>315.41666666666669</v>
      </c>
      <c r="M85" s="378">
        <f t="shared" si="4"/>
        <v>0</v>
      </c>
      <c r="N85" s="258"/>
      <c r="O85" s="258"/>
    </row>
    <row r="86" spans="1:15" ht="14.5" customHeight="1" thickBot="1" x14ac:dyDescent="0.35">
      <c r="A86" s="397"/>
      <c r="B86" s="449"/>
      <c r="C86" s="89"/>
      <c r="D86" s="72"/>
      <c r="E86" s="73"/>
      <c r="F86" s="74"/>
      <c r="G86" s="356"/>
      <c r="H86" s="356"/>
      <c r="I86" s="73"/>
      <c r="J86" s="73"/>
      <c r="K86" s="357"/>
      <c r="L86" s="358"/>
      <c r="M86" s="358"/>
      <c r="N86" s="258"/>
      <c r="O86" s="258"/>
    </row>
    <row r="87" spans="1:15" ht="14.15" customHeight="1" x14ac:dyDescent="0.3">
      <c r="A87" s="359">
        <v>2.12</v>
      </c>
      <c r="B87" s="450"/>
      <c r="C87" s="91"/>
      <c r="D87" s="58" t="s">
        <v>161</v>
      </c>
      <c r="E87" s="56"/>
      <c r="F87" s="57"/>
      <c r="G87" s="361"/>
      <c r="H87" s="361"/>
      <c r="I87" s="56"/>
      <c r="J87" s="56"/>
      <c r="K87" s="362"/>
      <c r="L87" s="363"/>
      <c r="M87" s="363"/>
      <c r="N87" s="258"/>
      <c r="O87" s="258"/>
    </row>
    <row r="88" spans="1:15" ht="14.15" customHeight="1" x14ac:dyDescent="0.3">
      <c r="A88" s="341"/>
      <c r="B88" s="444"/>
      <c r="C88" s="87"/>
      <c r="D88" s="1"/>
      <c r="E88" s="36"/>
      <c r="F88" s="41"/>
      <c r="G88" s="348"/>
      <c r="H88" s="348"/>
      <c r="I88" s="79"/>
      <c r="J88" s="79"/>
      <c r="K88" s="349"/>
      <c r="L88" s="350"/>
      <c r="M88" s="351"/>
      <c r="N88" s="258"/>
      <c r="O88" s="258"/>
    </row>
    <row r="89" spans="1:15" ht="14.15" customHeight="1" x14ac:dyDescent="0.3">
      <c r="A89" s="341" t="s">
        <v>162</v>
      </c>
      <c r="B89" s="443" t="s">
        <v>163</v>
      </c>
      <c r="C89" s="87" t="s">
        <v>108</v>
      </c>
      <c r="D89" s="1">
        <v>0</v>
      </c>
      <c r="E89" s="36">
        <v>109.45</v>
      </c>
      <c r="F89" s="41">
        <v>0.2</v>
      </c>
      <c r="G89" s="348">
        <f>E89/(1-F89)</f>
        <v>136.8125</v>
      </c>
      <c r="H89" s="348">
        <v>50</v>
      </c>
      <c r="I89" s="83">
        <v>0.15</v>
      </c>
      <c r="J89" s="79">
        <f>H89*(1+I89)</f>
        <v>57.499999999999993</v>
      </c>
      <c r="K89" s="349">
        <f>J89*D89</f>
        <v>0</v>
      </c>
      <c r="L89" s="350">
        <f>G89+J89</f>
        <v>194.3125</v>
      </c>
      <c r="M89" s="351">
        <f>D89*L89</f>
        <v>0</v>
      </c>
      <c r="N89" s="258"/>
      <c r="O89" s="258"/>
    </row>
    <row r="90" spans="1:15" ht="14.15" customHeight="1" x14ac:dyDescent="0.3">
      <c r="A90" s="341"/>
      <c r="B90" s="443" t="s">
        <v>164</v>
      </c>
      <c r="C90" s="87" t="s">
        <v>108</v>
      </c>
      <c r="D90" s="1">
        <v>80</v>
      </c>
      <c r="E90" s="36">
        <v>70.599999999999994</v>
      </c>
      <c r="F90" s="41">
        <v>0.2</v>
      </c>
      <c r="G90" s="348">
        <f>E90/(1-F90)</f>
        <v>88.249999999999986</v>
      </c>
      <c r="H90" s="348">
        <v>50</v>
      </c>
      <c r="I90" s="83">
        <v>0.15</v>
      </c>
      <c r="J90" s="79">
        <f>H90*(1+I90)</f>
        <v>57.499999999999993</v>
      </c>
      <c r="K90" s="349">
        <f>J90*D90</f>
        <v>4599.9999999999991</v>
      </c>
      <c r="L90" s="350">
        <f>G90+J90</f>
        <v>145.74999999999997</v>
      </c>
      <c r="M90" s="351">
        <f>D90*L90</f>
        <v>11659.999999999998</v>
      </c>
      <c r="N90" s="258"/>
      <c r="O90" s="258"/>
    </row>
    <row r="91" spans="1:15" ht="14.5" customHeight="1" thickBot="1" x14ac:dyDescent="0.35">
      <c r="A91" s="381"/>
      <c r="B91" s="446" t="s">
        <v>165</v>
      </c>
      <c r="C91" s="86" t="s">
        <v>108</v>
      </c>
      <c r="D91" s="50">
        <v>80</v>
      </c>
      <c r="E91" s="51">
        <v>22.91</v>
      </c>
      <c r="F91" s="52">
        <v>0.2</v>
      </c>
      <c r="G91" s="376">
        <f>E91/(1-F91)</f>
        <v>28.637499999999999</v>
      </c>
      <c r="H91" s="376">
        <v>50</v>
      </c>
      <c r="I91" s="83">
        <v>0.15</v>
      </c>
      <c r="J91" s="79">
        <f>H91*(1+I91)</f>
        <v>57.499999999999993</v>
      </c>
      <c r="K91" s="349">
        <f>J91*D91</f>
        <v>4599.9999999999991</v>
      </c>
      <c r="L91" s="350">
        <f>G91+J91</f>
        <v>86.137499999999989</v>
      </c>
      <c r="M91" s="378">
        <f>D91*L91</f>
        <v>6890.9999999999991</v>
      </c>
      <c r="N91" s="258"/>
      <c r="O91" s="258"/>
    </row>
    <row r="92" spans="1:15" ht="14.5" customHeight="1" thickBot="1" x14ac:dyDescent="0.35">
      <c r="A92" s="397"/>
      <c r="B92" s="449"/>
      <c r="C92" s="89"/>
      <c r="D92" s="72"/>
      <c r="E92" s="73"/>
      <c r="F92" s="74"/>
      <c r="G92" s="356"/>
      <c r="H92" s="356"/>
      <c r="I92" s="73"/>
      <c r="J92" s="73"/>
      <c r="K92" s="357"/>
      <c r="L92" s="358"/>
      <c r="M92" s="358"/>
      <c r="N92" s="258"/>
      <c r="O92" s="258"/>
    </row>
    <row r="93" spans="1:15" ht="14.15" customHeight="1" x14ac:dyDescent="0.3">
      <c r="A93" s="359">
        <v>2.13</v>
      </c>
      <c r="B93" s="450"/>
      <c r="C93" s="91"/>
      <c r="D93" s="58" t="s">
        <v>166</v>
      </c>
      <c r="E93" s="56"/>
      <c r="F93" s="57"/>
      <c r="G93" s="361"/>
      <c r="H93" s="361"/>
      <c r="I93" s="56"/>
      <c r="J93" s="56"/>
      <c r="K93" s="362"/>
      <c r="L93" s="363"/>
      <c r="M93" s="363"/>
      <c r="N93" s="258"/>
      <c r="O93" s="258"/>
    </row>
    <row r="94" spans="1:15" ht="14.15" customHeight="1" x14ac:dyDescent="0.3">
      <c r="A94" s="341"/>
      <c r="B94" s="444"/>
      <c r="C94" s="87"/>
      <c r="D94" s="1"/>
      <c r="E94" s="36"/>
      <c r="F94" s="41"/>
      <c r="G94" s="348"/>
      <c r="H94" s="348"/>
      <c r="I94" s="79"/>
      <c r="J94" s="79"/>
      <c r="K94" s="349"/>
      <c r="L94" s="350"/>
      <c r="M94" s="351"/>
      <c r="N94" s="258"/>
      <c r="O94" s="258"/>
    </row>
    <row r="95" spans="1:15" ht="14.15" customHeight="1" x14ac:dyDescent="0.3">
      <c r="A95" s="341" t="s">
        <v>167</v>
      </c>
      <c r="B95" s="443" t="s">
        <v>168</v>
      </c>
      <c r="C95" s="87" t="s">
        <v>108</v>
      </c>
      <c r="D95" s="1">
        <v>20</v>
      </c>
      <c r="E95" s="36">
        <v>25</v>
      </c>
      <c r="F95" s="41">
        <v>0.2</v>
      </c>
      <c r="G95" s="348">
        <f>E95/(1-F95)</f>
        <v>31.25</v>
      </c>
      <c r="H95" s="348"/>
      <c r="I95" s="83">
        <v>0.15</v>
      </c>
      <c r="J95" s="79">
        <f>H95*(1+I95)</f>
        <v>0</v>
      </c>
      <c r="K95" s="349">
        <f>J95*D95</f>
        <v>0</v>
      </c>
      <c r="L95" s="350">
        <f>G95+J95</f>
        <v>31.25</v>
      </c>
      <c r="M95" s="351">
        <f>D95*L95</f>
        <v>625</v>
      </c>
      <c r="N95" s="258"/>
      <c r="O95" s="258"/>
    </row>
    <row r="96" spans="1:15" ht="14.15" customHeight="1" x14ac:dyDescent="0.3">
      <c r="A96" s="341" t="s">
        <v>169</v>
      </c>
      <c r="B96" s="443" t="s">
        <v>170</v>
      </c>
      <c r="C96" s="87" t="s">
        <v>108</v>
      </c>
      <c r="D96" s="1">
        <v>20</v>
      </c>
      <c r="E96" s="36">
        <v>33</v>
      </c>
      <c r="F96" s="41">
        <v>0.2</v>
      </c>
      <c r="G96" s="348">
        <f>E96/(1-F96)</f>
        <v>41.25</v>
      </c>
      <c r="H96" s="348"/>
      <c r="I96" s="83">
        <v>0.15</v>
      </c>
      <c r="J96" s="79">
        <f>H96*(1+I96)</f>
        <v>0</v>
      </c>
      <c r="K96" s="349">
        <f>J96*D96</f>
        <v>0</v>
      </c>
      <c r="L96" s="350">
        <f>G96+J96</f>
        <v>41.25</v>
      </c>
      <c r="M96" s="351">
        <f>D96*L96</f>
        <v>825</v>
      </c>
      <c r="N96" s="258"/>
      <c r="O96" s="258"/>
    </row>
    <row r="97" spans="1:15" ht="14.5" customHeight="1" thickBot="1" x14ac:dyDescent="0.35">
      <c r="A97" s="341" t="s">
        <v>171</v>
      </c>
      <c r="B97" s="451" t="s">
        <v>172</v>
      </c>
      <c r="C97" s="29" t="s">
        <v>108</v>
      </c>
      <c r="D97" s="1">
        <v>0</v>
      </c>
      <c r="E97" s="36">
        <v>37</v>
      </c>
      <c r="F97" s="41">
        <v>0.2</v>
      </c>
      <c r="G97" s="348">
        <f>E97/(1-F97)</f>
        <v>46.25</v>
      </c>
      <c r="H97" s="348"/>
      <c r="I97" s="83">
        <v>0.15</v>
      </c>
      <c r="J97" s="79">
        <f>H97*(1+I97)</f>
        <v>0</v>
      </c>
      <c r="K97" s="349">
        <f>J97*D97</f>
        <v>0</v>
      </c>
      <c r="L97" s="350">
        <f>G97+J97</f>
        <v>46.25</v>
      </c>
      <c r="M97" s="351">
        <f>D97*L97</f>
        <v>0</v>
      </c>
      <c r="N97" s="258"/>
      <c r="O97" s="258"/>
    </row>
    <row r="98" spans="1:15" ht="14.5" customHeight="1" thickBot="1" x14ac:dyDescent="0.35">
      <c r="A98" s="397"/>
      <c r="B98" s="449"/>
      <c r="C98" s="71"/>
      <c r="D98" s="72"/>
      <c r="E98" s="73"/>
      <c r="F98" s="74"/>
      <c r="G98" s="356"/>
      <c r="H98" s="356"/>
      <c r="I98" s="73"/>
      <c r="J98" s="73"/>
      <c r="K98" s="357"/>
      <c r="L98" s="358"/>
      <c r="M98" s="358"/>
      <c r="N98" s="258"/>
      <c r="O98" s="258"/>
    </row>
    <row r="99" spans="1:15" s="297" customFormat="1" ht="14.15" customHeight="1" x14ac:dyDescent="0.3">
      <c r="A99" s="402">
        <v>2.14</v>
      </c>
      <c r="B99" s="452"/>
      <c r="C99" s="78"/>
      <c r="D99" s="65" t="s">
        <v>173</v>
      </c>
      <c r="E99" s="53"/>
      <c r="F99" s="54"/>
      <c r="G99" s="391"/>
      <c r="H99" s="391"/>
      <c r="I99" s="53"/>
      <c r="J99" s="53"/>
      <c r="K99" s="392"/>
      <c r="L99" s="393"/>
      <c r="M99" s="393"/>
      <c r="N99" s="258"/>
      <c r="O99" s="258"/>
    </row>
    <row r="100" spans="1:15" s="297" customFormat="1" ht="14.15" customHeight="1" x14ac:dyDescent="0.3">
      <c r="A100" s="341"/>
      <c r="B100" s="444"/>
      <c r="C100" s="29"/>
      <c r="D100" s="1"/>
      <c r="E100" s="36"/>
      <c r="F100" s="41"/>
      <c r="G100" s="348"/>
      <c r="H100" s="348"/>
      <c r="I100" s="79"/>
      <c r="J100" s="79"/>
      <c r="K100" s="349"/>
      <c r="L100" s="350"/>
      <c r="M100" s="351"/>
      <c r="N100" s="258"/>
      <c r="O100" s="258"/>
    </row>
    <row r="101" spans="1:15" s="297" customFormat="1" ht="28" customHeight="1" x14ac:dyDescent="0.3">
      <c r="A101" s="341"/>
      <c r="B101" s="443" t="s">
        <v>174</v>
      </c>
      <c r="C101" s="29"/>
      <c r="D101" s="1"/>
      <c r="E101" s="36"/>
      <c r="F101" s="41"/>
      <c r="G101" s="348"/>
      <c r="H101" s="348"/>
      <c r="I101" s="79"/>
      <c r="J101" s="79"/>
      <c r="K101" s="349"/>
      <c r="L101" s="350"/>
      <c r="M101" s="351"/>
      <c r="N101" s="258"/>
      <c r="O101" s="258"/>
    </row>
    <row r="102" spans="1:15" s="297" customFormat="1" ht="14.15" customHeight="1" x14ac:dyDescent="0.3">
      <c r="A102" s="384"/>
      <c r="B102" s="443"/>
      <c r="C102" s="29"/>
      <c r="D102" s="1"/>
      <c r="E102" s="36"/>
      <c r="F102" s="41"/>
      <c r="G102" s="348"/>
      <c r="H102" s="348"/>
      <c r="I102" s="79"/>
      <c r="J102" s="79"/>
      <c r="K102" s="349"/>
      <c r="L102" s="350"/>
      <c r="M102" s="351"/>
      <c r="N102" s="258"/>
      <c r="O102" s="258"/>
    </row>
    <row r="103" spans="1:15" s="297" customFormat="1" ht="14.15" customHeight="1" x14ac:dyDescent="0.3">
      <c r="A103" s="384"/>
      <c r="B103" s="443" t="s">
        <v>282</v>
      </c>
      <c r="C103" s="29" t="s">
        <v>85</v>
      </c>
      <c r="D103" s="1">
        <v>0</v>
      </c>
      <c r="E103" s="36">
        <f>1100*1.1</f>
        <v>1210</v>
      </c>
      <c r="F103" s="41">
        <v>0.2</v>
      </c>
      <c r="G103" s="348">
        <f t="shared" ref="G103:G115" si="5">E103/(1-F103)</f>
        <v>1512.5</v>
      </c>
      <c r="H103" s="348">
        <f>(250+100)*1.5</f>
        <v>525</v>
      </c>
      <c r="I103" s="83">
        <v>0.15</v>
      </c>
      <c r="J103" s="79">
        <f t="shared" ref="J103:J115" si="6">H103*(1+I103)</f>
        <v>603.75</v>
      </c>
      <c r="K103" s="349">
        <f t="shared" ref="K103:K115" si="7">J103*D103</f>
        <v>0</v>
      </c>
      <c r="L103" s="350">
        <f t="shared" ref="L103:L115" si="8">G103+J103</f>
        <v>2116.25</v>
      </c>
      <c r="M103" s="351">
        <f t="shared" ref="M103:M115" si="9">D103*L103</f>
        <v>0</v>
      </c>
      <c r="N103" s="258"/>
      <c r="O103" s="258"/>
    </row>
    <row r="104" spans="1:15" s="297" customFormat="1" ht="14.15" customHeight="1" x14ac:dyDescent="0.3">
      <c r="A104" s="341" t="s">
        <v>175</v>
      </c>
      <c r="B104" s="443" t="s">
        <v>150</v>
      </c>
      <c r="C104" s="29" t="s">
        <v>85</v>
      </c>
      <c r="D104" s="1">
        <v>12</v>
      </c>
      <c r="E104" s="36">
        <f>752.54*1.1</f>
        <v>827.79399999999998</v>
      </c>
      <c r="F104" s="41">
        <v>0.2</v>
      </c>
      <c r="G104" s="348">
        <f t="shared" si="5"/>
        <v>1034.7424999999998</v>
      </c>
      <c r="H104" s="348">
        <f>(250+100)*1.5</f>
        <v>525</v>
      </c>
      <c r="I104" s="83">
        <v>0.15</v>
      </c>
      <c r="J104" s="79">
        <f t="shared" si="6"/>
        <v>603.75</v>
      </c>
      <c r="K104" s="349">
        <f t="shared" si="7"/>
        <v>7245</v>
      </c>
      <c r="L104" s="350">
        <f t="shared" si="8"/>
        <v>1638.4924999999998</v>
      </c>
      <c r="M104" s="351">
        <f t="shared" si="9"/>
        <v>19661.909999999996</v>
      </c>
      <c r="N104" s="258"/>
      <c r="O104" s="258"/>
    </row>
    <row r="105" spans="1:15" s="297" customFormat="1" ht="14.15" customHeight="1" x14ac:dyDescent="0.3">
      <c r="A105" s="341"/>
      <c r="B105" s="443" t="s">
        <v>428</v>
      </c>
      <c r="C105" s="29" t="s">
        <v>85</v>
      </c>
      <c r="D105" s="1">
        <v>24</v>
      </c>
      <c r="E105" s="36">
        <v>500</v>
      </c>
      <c r="F105" s="41">
        <v>0.2</v>
      </c>
      <c r="G105" s="348">
        <f t="shared" si="5"/>
        <v>625</v>
      </c>
      <c r="H105" s="348">
        <f>(250+100)*1.5</f>
        <v>525</v>
      </c>
      <c r="I105" s="83">
        <v>0.15</v>
      </c>
      <c r="J105" s="79">
        <f t="shared" si="6"/>
        <v>603.75</v>
      </c>
      <c r="K105" s="349">
        <f t="shared" si="7"/>
        <v>14490</v>
      </c>
      <c r="L105" s="350">
        <f t="shared" si="8"/>
        <v>1228.75</v>
      </c>
      <c r="M105" s="351">
        <f t="shared" si="9"/>
        <v>29490</v>
      </c>
      <c r="N105" s="258"/>
      <c r="O105" s="258"/>
    </row>
    <row r="106" spans="1:15" s="297" customFormat="1" ht="14.15" customHeight="1" x14ac:dyDescent="0.3">
      <c r="A106" s="341" t="s">
        <v>176</v>
      </c>
      <c r="B106" s="443" t="s">
        <v>177</v>
      </c>
      <c r="C106" s="29" t="s">
        <v>85</v>
      </c>
      <c r="D106" s="1">
        <v>0</v>
      </c>
      <c r="E106" s="36">
        <f>350*1.1</f>
        <v>385.00000000000006</v>
      </c>
      <c r="F106" s="41">
        <v>0.2</v>
      </c>
      <c r="G106" s="348">
        <f t="shared" si="5"/>
        <v>481.25000000000006</v>
      </c>
      <c r="H106" s="348">
        <f>(250+100)*1.5</f>
        <v>525</v>
      </c>
      <c r="I106" s="83">
        <v>0.15</v>
      </c>
      <c r="J106" s="79">
        <f t="shared" si="6"/>
        <v>603.75</v>
      </c>
      <c r="K106" s="349">
        <f t="shared" si="7"/>
        <v>0</v>
      </c>
      <c r="L106" s="350">
        <f t="shared" si="8"/>
        <v>1085</v>
      </c>
      <c r="M106" s="351">
        <f t="shared" si="9"/>
        <v>0</v>
      </c>
      <c r="N106" s="258"/>
      <c r="O106" s="258"/>
    </row>
    <row r="107" spans="1:15" s="297" customFormat="1" ht="14.15" customHeight="1" x14ac:dyDescent="0.3">
      <c r="A107" s="341" t="s">
        <v>178</v>
      </c>
      <c r="B107" s="443" t="s">
        <v>437</v>
      </c>
      <c r="C107" s="29" t="s">
        <v>85</v>
      </c>
      <c r="D107" s="1">
        <v>24</v>
      </c>
      <c r="E107" s="36">
        <v>300</v>
      </c>
      <c r="F107" s="41">
        <v>0.2</v>
      </c>
      <c r="G107" s="348">
        <f t="shared" si="5"/>
        <v>375</v>
      </c>
      <c r="H107" s="348">
        <f>(250+100)*1.5</f>
        <v>525</v>
      </c>
      <c r="I107" s="83">
        <v>0.15</v>
      </c>
      <c r="J107" s="79">
        <f t="shared" si="6"/>
        <v>603.75</v>
      </c>
      <c r="K107" s="349">
        <f t="shared" si="7"/>
        <v>14490</v>
      </c>
      <c r="L107" s="350">
        <f t="shared" si="8"/>
        <v>978.75</v>
      </c>
      <c r="M107" s="351">
        <f t="shared" si="9"/>
        <v>23490</v>
      </c>
      <c r="N107" s="258"/>
      <c r="O107" s="258"/>
    </row>
    <row r="108" spans="1:15" s="297" customFormat="1" ht="14.15" customHeight="1" x14ac:dyDescent="0.3">
      <c r="A108" s="341" t="s">
        <v>179</v>
      </c>
      <c r="B108" s="443" t="s">
        <v>154</v>
      </c>
      <c r="C108" s="29" t="s">
        <v>85</v>
      </c>
      <c r="D108" s="1">
        <v>0</v>
      </c>
      <c r="E108" s="36">
        <v>350</v>
      </c>
      <c r="F108" s="41">
        <v>0.2</v>
      </c>
      <c r="G108" s="348">
        <f t="shared" si="5"/>
        <v>437.5</v>
      </c>
      <c r="H108" s="348">
        <v>525</v>
      </c>
      <c r="I108" s="83">
        <v>0.15</v>
      </c>
      <c r="J108" s="79">
        <f t="shared" si="6"/>
        <v>603.75</v>
      </c>
      <c r="K108" s="349">
        <f t="shared" si="7"/>
        <v>0</v>
      </c>
      <c r="L108" s="350">
        <f t="shared" si="8"/>
        <v>1041.25</v>
      </c>
      <c r="M108" s="351">
        <f t="shared" si="9"/>
        <v>0</v>
      </c>
      <c r="N108" s="258"/>
      <c r="O108" s="258"/>
    </row>
    <row r="109" spans="1:15" s="297" customFormat="1" ht="14.5" customHeight="1" x14ac:dyDescent="0.3">
      <c r="A109" s="341" t="s">
        <v>180</v>
      </c>
      <c r="B109" s="443" t="s">
        <v>156</v>
      </c>
      <c r="C109" s="29" t="s">
        <v>85</v>
      </c>
      <c r="D109" s="1">
        <v>0</v>
      </c>
      <c r="E109" s="36"/>
      <c r="F109" s="41"/>
      <c r="G109" s="348">
        <f t="shared" si="5"/>
        <v>0</v>
      </c>
      <c r="H109" s="348">
        <v>525</v>
      </c>
      <c r="I109" s="83">
        <v>0.15</v>
      </c>
      <c r="J109" s="79">
        <f t="shared" si="6"/>
        <v>603.75</v>
      </c>
      <c r="K109" s="349">
        <f t="shared" si="7"/>
        <v>0</v>
      </c>
      <c r="L109" s="350">
        <f t="shared" si="8"/>
        <v>603.75</v>
      </c>
      <c r="M109" s="351">
        <f t="shared" si="9"/>
        <v>0</v>
      </c>
      <c r="N109" s="258"/>
      <c r="O109" s="258"/>
    </row>
    <row r="110" spans="1:15" s="297" customFormat="1" ht="14.15" customHeight="1" x14ac:dyDescent="0.3">
      <c r="A110" s="341" t="s">
        <v>181</v>
      </c>
      <c r="B110" s="443" t="s">
        <v>158</v>
      </c>
      <c r="C110" s="29" t="s">
        <v>85</v>
      </c>
      <c r="D110" s="1">
        <v>26</v>
      </c>
      <c r="E110" s="36">
        <v>350</v>
      </c>
      <c r="F110" s="41">
        <v>0.2</v>
      </c>
      <c r="G110" s="348">
        <f t="shared" si="5"/>
        <v>437.5</v>
      </c>
      <c r="H110" s="348">
        <v>525</v>
      </c>
      <c r="I110" s="83">
        <v>0.15</v>
      </c>
      <c r="J110" s="79">
        <f t="shared" si="6"/>
        <v>603.75</v>
      </c>
      <c r="K110" s="349">
        <f t="shared" si="7"/>
        <v>15697.5</v>
      </c>
      <c r="L110" s="350">
        <f t="shared" si="8"/>
        <v>1041.25</v>
      </c>
      <c r="M110" s="351">
        <f t="shared" si="9"/>
        <v>27072.5</v>
      </c>
      <c r="N110" s="258"/>
      <c r="O110" s="258"/>
    </row>
    <row r="111" spans="1:15" s="297" customFormat="1" ht="14.15" customHeight="1" x14ac:dyDescent="0.3">
      <c r="A111" s="341" t="s">
        <v>182</v>
      </c>
      <c r="B111" s="443" t="s">
        <v>160</v>
      </c>
      <c r="C111" s="29" t="s">
        <v>85</v>
      </c>
      <c r="D111" s="1">
        <v>0</v>
      </c>
      <c r="E111" s="36">
        <v>350</v>
      </c>
      <c r="F111" s="41">
        <v>0.2</v>
      </c>
      <c r="G111" s="348">
        <f t="shared" si="5"/>
        <v>437.5</v>
      </c>
      <c r="H111" s="348">
        <v>525</v>
      </c>
      <c r="I111" s="83">
        <v>0.15</v>
      </c>
      <c r="J111" s="79">
        <f t="shared" si="6"/>
        <v>603.75</v>
      </c>
      <c r="K111" s="349">
        <f t="shared" si="7"/>
        <v>0</v>
      </c>
      <c r="L111" s="350">
        <f t="shared" si="8"/>
        <v>1041.25</v>
      </c>
      <c r="M111" s="351">
        <f t="shared" si="9"/>
        <v>0</v>
      </c>
      <c r="N111" s="258"/>
      <c r="O111" s="258"/>
    </row>
    <row r="112" spans="1:15" s="297" customFormat="1" ht="14.15" customHeight="1" x14ac:dyDescent="0.3">
      <c r="A112" s="341" t="s">
        <v>183</v>
      </c>
      <c r="B112" s="443" t="s">
        <v>184</v>
      </c>
      <c r="C112" s="29" t="s">
        <v>85</v>
      </c>
      <c r="D112" s="1">
        <v>0</v>
      </c>
      <c r="E112" s="36"/>
      <c r="F112" s="41"/>
      <c r="G112" s="348">
        <f t="shared" si="5"/>
        <v>0</v>
      </c>
      <c r="H112" s="348">
        <v>525</v>
      </c>
      <c r="I112" s="83">
        <v>0.15</v>
      </c>
      <c r="J112" s="79">
        <f t="shared" si="6"/>
        <v>603.75</v>
      </c>
      <c r="K112" s="349">
        <f t="shared" si="7"/>
        <v>0</v>
      </c>
      <c r="L112" s="350">
        <f t="shared" si="8"/>
        <v>603.75</v>
      </c>
      <c r="M112" s="351">
        <f t="shared" si="9"/>
        <v>0</v>
      </c>
      <c r="N112" s="258"/>
      <c r="O112" s="258"/>
    </row>
    <row r="113" spans="1:15" s="297" customFormat="1" ht="14.15" customHeight="1" x14ac:dyDescent="0.3">
      <c r="A113" s="341" t="s">
        <v>185</v>
      </c>
      <c r="B113" s="443" t="s">
        <v>186</v>
      </c>
      <c r="C113" s="29" t="s">
        <v>85</v>
      </c>
      <c r="D113" s="1">
        <v>0</v>
      </c>
      <c r="E113" s="36">
        <v>250</v>
      </c>
      <c r="F113" s="41">
        <v>0.2</v>
      </c>
      <c r="G113" s="348">
        <f t="shared" si="5"/>
        <v>312.5</v>
      </c>
      <c r="H113" s="348">
        <v>525</v>
      </c>
      <c r="I113" s="83">
        <v>0.15</v>
      </c>
      <c r="J113" s="79">
        <f t="shared" si="6"/>
        <v>603.75</v>
      </c>
      <c r="K113" s="349">
        <f t="shared" si="7"/>
        <v>0</v>
      </c>
      <c r="L113" s="350">
        <f t="shared" si="8"/>
        <v>916.25</v>
      </c>
      <c r="M113" s="351">
        <f t="shared" si="9"/>
        <v>0</v>
      </c>
      <c r="N113" s="258"/>
      <c r="O113" s="258"/>
    </row>
    <row r="114" spans="1:15" s="297" customFormat="1" ht="14.15" customHeight="1" x14ac:dyDescent="0.3">
      <c r="A114" s="341" t="s">
        <v>187</v>
      </c>
      <c r="B114" s="443" t="s">
        <v>188</v>
      </c>
      <c r="C114" s="29" t="s">
        <v>85</v>
      </c>
      <c r="D114" s="1">
        <v>0</v>
      </c>
      <c r="E114" s="36">
        <v>500</v>
      </c>
      <c r="F114" s="41">
        <v>0.2</v>
      </c>
      <c r="G114" s="348">
        <f t="shared" si="5"/>
        <v>625</v>
      </c>
      <c r="H114" s="348">
        <v>525</v>
      </c>
      <c r="I114" s="83">
        <v>0.15</v>
      </c>
      <c r="J114" s="79">
        <f t="shared" si="6"/>
        <v>603.75</v>
      </c>
      <c r="K114" s="349">
        <f t="shared" si="7"/>
        <v>0</v>
      </c>
      <c r="L114" s="350">
        <f t="shared" si="8"/>
        <v>1228.75</v>
      </c>
      <c r="M114" s="351">
        <f t="shared" si="9"/>
        <v>0</v>
      </c>
      <c r="N114" s="258"/>
      <c r="O114" s="258"/>
    </row>
    <row r="115" spans="1:15" s="297" customFormat="1" ht="14.5" customHeight="1" thickBot="1" x14ac:dyDescent="0.35">
      <c r="A115" s="381" t="s">
        <v>189</v>
      </c>
      <c r="B115" s="446" t="s">
        <v>190</v>
      </c>
      <c r="C115" s="76" t="s">
        <v>85</v>
      </c>
      <c r="D115" s="50">
        <v>0</v>
      </c>
      <c r="E115" s="51">
        <v>500</v>
      </c>
      <c r="F115" s="52">
        <v>0.2</v>
      </c>
      <c r="G115" s="376">
        <f t="shared" si="5"/>
        <v>625</v>
      </c>
      <c r="H115" s="376">
        <v>525</v>
      </c>
      <c r="I115" s="84">
        <v>0.15</v>
      </c>
      <c r="J115" s="80">
        <f t="shared" si="6"/>
        <v>603.75</v>
      </c>
      <c r="K115" s="382">
        <f t="shared" si="7"/>
        <v>0</v>
      </c>
      <c r="L115" s="350">
        <f t="shared" si="8"/>
        <v>1228.75</v>
      </c>
      <c r="M115" s="378">
        <f t="shared" si="9"/>
        <v>0</v>
      </c>
      <c r="N115" s="258"/>
      <c r="O115" s="258"/>
    </row>
    <row r="116" spans="1:15" s="297" customFormat="1" ht="14.5" customHeight="1" thickBot="1" x14ac:dyDescent="0.35">
      <c r="A116" s="404"/>
      <c r="B116" s="453"/>
      <c r="C116" s="29"/>
      <c r="D116" s="1"/>
      <c r="E116" s="36"/>
      <c r="F116" s="41"/>
      <c r="G116" s="348"/>
      <c r="H116" s="348"/>
      <c r="I116" s="79"/>
      <c r="J116" s="79"/>
      <c r="K116" s="406"/>
      <c r="L116" s="350"/>
      <c r="M116" s="351"/>
      <c r="N116" s="258"/>
      <c r="O116" s="258"/>
    </row>
    <row r="117" spans="1:15" ht="14.15" customHeight="1" x14ac:dyDescent="0.3">
      <c r="A117" s="359">
        <v>2.15</v>
      </c>
      <c r="B117" s="450"/>
      <c r="C117" s="75"/>
      <c r="D117" s="58" t="s">
        <v>191</v>
      </c>
      <c r="E117" s="56"/>
      <c r="F117" s="57"/>
      <c r="G117" s="361"/>
      <c r="H117" s="361"/>
      <c r="I117" s="56"/>
      <c r="J117" s="56"/>
      <c r="K117" s="362"/>
      <c r="L117" s="363"/>
      <c r="M117" s="363"/>
      <c r="N117" s="258"/>
      <c r="O117" s="258"/>
    </row>
    <row r="118" spans="1:15" ht="14.15" customHeight="1" x14ac:dyDescent="0.3">
      <c r="A118" s="341"/>
      <c r="B118" s="444"/>
      <c r="C118" s="29"/>
      <c r="D118" s="1"/>
      <c r="E118" s="36"/>
      <c r="F118" s="41"/>
      <c r="G118" s="348"/>
      <c r="H118" s="348"/>
      <c r="I118" s="79"/>
      <c r="J118" s="79"/>
      <c r="K118" s="349"/>
      <c r="L118" s="350"/>
      <c r="M118" s="351"/>
      <c r="N118" s="258"/>
      <c r="O118" s="258"/>
    </row>
    <row r="119" spans="1:15" ht="28" customHeight="1" x14ac:dyDescent="0.3">
      <c r="A119" s="341"/>
      <c r="B119" s="443" t="s">
        <v>192</v>
      </c>
      <c r="C119" s="29"/>
      <c r="D119" s="1"/>
      <c r="E119" s="36"/>
      <c r="F119" s="41"/>
      <c r="G119" s="348"/>
      <c r="H119" s="348"/>
      <c r="I119" s="79"/>
      <c r="J119" s="79"/>
      <c r="K119" s="349"/>
      <c r="L119" s="350"/>
      <c r="M119" s="351"/>
      <c r="N119" s="258"/>
      <c r="O119" s="258"/>
    </row>
    <row r="120" spans="1:15" ht="14.15" customHeight="1" x14ac:dyDescent="0.3">
      <c r="A120" s="384"/>
      <c r="B120" s="443"/>
      <c r="C120" s="29"/>
      <c r="D120" s="1"/>
      <c r="E120" s="36"/>
      <c r="F120" s="41"/>
      <c r="G120" s="348"/>
      <c r="H120" s="348"/>
      <c r="I120" s="79"/>
      <c r="J120" s="79"/>
      <c r="K120" s="349"/>
      <c r="L120" s="350"/>
      <c r="M120" s="351"/>
      <c r="N120" s="258"/>
      <c r="O120" s="258"/>
    </row>
    <row r="121" spans="1:15" ht="14.15" customHeight="1" x14ac:dyDescent="0.3">
      <c r="A121" s="341" t="s">
        <v>193</v>
      </c>
      <c r="B121" s="443" t="s">
        <v>194</v>
      </c>
      <c r="C121" s="29" t="s">
        <v>108</v>
      </c>
      <c r="D121" s="1">
        <v>0</v>
      </c>
      <c r="E121" s="36">
        <f>132*(15+10+10)</f>
        <v>4620</v>
      </c>
      <c r="F121" s="41">
        <v>0.2</v>
      </c>
      <c r="G121" s="348">
        <f>E121/(1-F121)</f>
        <v>5775</v>
      </c>
      <c r="H121" s="348">
        <f>9*(15+10+10)</f>
        <v>315</v>
      </c>
      <c r="I121" s="83">
        <v>0.15</v>
      </c>
      <c r="J121" s="79">
        <f>H121*(1+I121)</f>
        <v>362.25</v>
      </c>
      <c r="K121" s="349">
        <f>J121*D121</f>
        <v>0</v>
      </c>
      <c r="L121" s="350">
        <f>G121+J121</f>
        <v>6137.25</v>
      </c>
      <c r="M121" s="351">
        <f>D121*L121</f>
        <v>0</v>
      </c>
      <c r="N121" s="258"/>
      <c r="O121" s="258"/>
    </row>
    <row r="122" spans="1:15" ht="14.5" customHeight="1" thickBot="1" x14ac:dyDescent="0.35">
      <c r="A122" s="381" t="s">
        <v>195</v>
      </c>
      <c r="B122" s="446" t="s">
        <v>196</v>
      </c>
      <c r="C122" s="76" t="s">
        <v>108</v>
      </c>
      <c r="D122" s="50">
        <v>250</v>
      </c>
      <c r="E122" s="51">
        <f>30</f>
        <v>30</v>
      </c>
      <c r="F122" s="52">
        <v>0.2</v>
      </c>
      <c r="G122" s="376">
        <f>E122/(1-F122)</f>
        <v>37.5</v>
      </c>
      <c r="H122" s="376">
        <f>15</f>
        <v>15</v>
      </c>
      <c r="I122" s="84">
        <v>0.15</v>
      </c>
      <c r="J122" s="80">
        <f>H122*(1+I122)</f>
        <v>17.25</v>
      </c>
      <c r="K122" s="382">
        <f>J122*D122</f>
        <v>4312.5</v>
      </c>
      <c r="L122" s="407">
        <f>G122+J122</f>
        <v>54.75</v>
      </c>
      <c r="M122" s="378">
        <f>D122*L122</f>
        <v>13687.5</v>
      </c>
      <c r="N122" s="258"/>
      <c r="O122" s="258"/>
    </row>
    <row r="123" spans="1:15" ht="14.5" customHeight="1" thickBot="1" x14ac:dyDescent="0.35">
      <c r="A123" s="258"/>
      <c r="B123" s="453"/>
      <c r="C123" s="29"/>
      <c r="D123" s="1"/>
      <c r="E123" s="36"/>
      <c r="F123" s="41"/>
      <c r="G123" s="348"/>
      <c r="H123" s="348"/>
      <c r="I123" s="79"/>
      <c r="J123" s="79"/>
      <c r="K123" s="406"/>
      <c r="L123" s="350"/>
      <c r="M123" s="351"/>
      <c r="N123" s="258"/>
      <c r="O123" s="258"/>
    </row>
    <row r="124" spans="1:15" ht="14.15" customHeight="1" x14ac:dyDescent="0.3">
      <c r="A124" s="359">
        <v>2.16</v>
      </c>
      <c r="B124" s="450"/>
      <c r="C124" s="75"/>
      <c r="D124" s="58" t="s">
        <v>197</v>
      </c>
      <c r="E124" s="56"/>
      <c r="F124" s="57"/>
      <c r="G124" s="361"/>
      <c r="H124" s="361"/>
      <c r="I124" s="56"/>
      <c r="J124" s="56"/>
      <c r="K124" s="362"/>
      <c r="L124" s="363"/>
      <c r="M124" s="363"/>
      <c r="N124" s="258"/>
      <c r="O124" s="258"/>
    </row>
    <row r="125" spans="1:15" ht="14.15" customHeight="1" x14ac:dyDescent="0.3">
      <c r="A125" s="341"/>
      <c r="B125" s="444"/>
      <c r="C125" s="29"/>
      <c r="D125" s="1"/>
      <c r="E125" s="36"/>
      <c r="F125" s="41"/>
      <c r="G125" s="348"/>
      <c r="H125" s="348"/>
      <c r="I125" s="79"/>
      <c r="J125" s="79"/>
      <c r="K125" s="349"/>
      <c r="L125" s="350"/>
      <c r="M125" s="351"/>
      <c r="N125" s="258"/>
      <c r="O125" s="258"/>
    </row>
    <row r="126" spans="1:15" ht="28.5" customHeight="1" thickBot="1" x14ac:dyDescent="0.35">
      <c r="A126" s="381" t="s">
        <v>198</v>
      </c>
      <c r="B126" s="446" t="s">
        <v>199</v>
      </c>
      <c r="C126" s="86" t="s">
        <v>108</v>
      </c>
      <c r="D126" s="50">
        <v>10</v>
      </c>
      <c r="E126" s="51">
        <v>5</v>
      </c>
      <c r="F126" s="52">
        <v>0.2</v>
      </c>
      <c r="G126" s="376">
        <f>E126/(1-F126)</f>
        <v>6.25</v>
      </c>
      <c r="H126" s="376">
        <f>(100*3)</f>
        <v>300</v>
      </c>
      <c r="I126" s="84">
        <v>0.15</v>
      </c>
      <c r="J126" s="80">
        <f>H126*(1+I126)</f>
        <v>345</v>
      </c>
      <c r="K126" s="382">
        <f>J126*D126</f>
        <v>3450</v>
      </c>
      <c r="L126" s="407">
        <f>G126+J126</f>
        <v>351.25</v>
      </c>
      <c r="M126" s="378">
        <f>D126*L126</f>
        <v>3512.5</v>
      </c>
      <c r="N126" s="258"/>
      <c r="O126" s="258"/>
    </row>
    <row r="127" spans="1:15" ht="13.4" customHeight="1" thickBot="1" x14ac:dyDescent="0.35">
      <c r="A127" s="404"/>
      <c r="B127" s="453"/>
      <c r="C127" s="87"/>
      <c r="D127" s="1"/>
      <c r="E127" s="36"/>
      <c r="F127" s="41"/>
      <c r="G127" s="348"/>
      <c r="H127" s="348"/>
      <c r="I127" s="79"/>
      <c r="J127" s="79"/>
      <c r="K127" s="406"/>
      <c r="L127" s="350"/>
      <c r="M127" s="351"/>
      <c r="N127" s="258"/>
      <c r="O127" s="258"/>
    </row>
    <row r="128" spans="1:15" ht="14.15" customHeight="1" x14ac:dyDescent="0.3">
      <c r="A128" s="359">
        <v>2.17</v>
      </c>
      <c r="B128" s="450"/>
      <c r="C128" s="91"/>
      <c r="D128" s="58" t="s">
        <v>200</v>
      </c>
      <c r="E128" s="56"/>
      <c r="F128" s="57"/>
      <c r="G128" s="361"/>
      <c r="H128" s="361"/>
      <c r="I128" s="56"/>
      <c r="J128" s="56"/>
      <c r="K128" s="362"/>
      <c r="L128" s="363"/>
      <c r="M128" s="363"/>
      <c r="N128" s="258"/>
      <c r="O128" s="258"/>
    </row>
    <row r="129" spans="1:15" ht="14.15" customHeight="1" x14ac:dyDescent="0.3">
      <c r="A129" s="341"/>
      <c r="B129" s="454"/>
      <c r="C129" s="87"/>
      <c r="D129" s="1"/>
      <c r="E129" s="36"/>
      <c r="F129" s="41"/>
      <c r="G129" s="348"/>
      <c r="H129" s="348"/>
      <c r="I129" s="79"/>
      <c r="J129" s="79"/>
      <c r="K129" s="349"/>
      <c r="L129" s="350"/>
      <c r="M129" s="351"/>
      <c r="N129" s="258"/>
      <c r="O129" s="258"/>
    </row>
    <row r="130" spans="1:15" ht="14.15" customHeight="1" x14ac:dyDescent="0.3">
      <c r="A130" s="341"/>
      <c r="B130" s="443" t="s">
        <v>201</v>
      </c>
      <c r="C130" s="87"/>
      <c r="D130" s="1"/>
      <c r="E130" s="36"/>
      <c r="F130" s="41"/>
      <c r="G130" s="348"/>
      <c r="H130" s="348"/>
      <c r="I130" s="79"/>
      <c r="J130" s="79"/>
      <c r="K130" s="349"/>
      <c r="L130" s="350"/>
      <c r="M130" s="351"/>
      <c r="N130" s="258"/>
      <c r="O130" s="258"/>
    </row>
    <row r="131" spans="1:15" ht="14.15" customHeight="1" x14ac:dyDescent="0.3">
      <c r="A131" s="384"/>
      <c r="B131" s="455"/>
      <c r="C131" s="87"/>
      <c r="D131" s="1"/>
      <c r="E131" s="36"/>
      <c r="F131" s="41"/>
      <c r="G131" s="348"/>
      <c r="H131" s="348"/>
      <c r="I131" s="79"/>
      <c r="J131" s="79"/>
      <c r="K131" s="349"/>
      <c r="L131" s="350"/>
      <c r="M131" s="351"/>
      <c r="N131" s="258"/>
      <c r="O131" s="258"/>
    </row>
    <row r="132" spans="1:15" ht="28" customHeight="1" x14ac:dyDescent="0.3">
      <c r="A132" s="341" t="s">
        <v>202</v>
      </c>
      <c r="B132" s="443" t="s">
        <v>203</v>
      </c>
      <c r="C132" s="87" t="s">
        <v>42</v>
      </c>
      <c r="D132" s="1">
        <v>0</v>
      </c>
      <c r="E132" s="36"/>
      <c r="F132" s="41">
        <v>0.2</v>
      </c>
      <c r="G132" s="348">
        <f>E132/(1-F132)</f>
        <v>0</v>
      </c>
      <c r="H132" s="348">
        <f>140*(20+60+200)</f>
        <v>39200</v>
      </c>
      <c r="I132" s="83">
        <v>0.15</v>
      </c>
      <c r="J132" s="79">
        <f>H132*(1+I132)</f>
        <v>45080</v>
      </c>
      <c r="K132" s="349">
        <f>J132*D132</f>
        <v>0</v>
      </c>
      <c r="L132" s="350">
        <f>G132+J132</f>
        <v>45080</v>
      </c>
      <c r="M132" s="351">
        <f>D132*L132</f>
        <v>0</v>
      </c>
      <c r="N132" s="258"/>
      <c r="O132" s="258"/>
    </row>
    <row r="133" spans="1:15" s="297" customFormat="1" ht="28" customHeight="1" x14ac:dyDescent="0.3">
      <c r="A133" s="341" t="s">
        <v>204</v>
      </c>
      <c r="B133" s="443" t="s">
        <v>205</v>
      </c>
      <c r="C133" s="87" t="s">
        <v>42</v>
      </c>
      <c r="D133" s="1">
        <v>0</v>
      </c>
      <c r="E133" s="36"/>
      <c r="F133" s="41">
        <v>0.2</v>
      </c>
      <c r="G133" s="348">
        <f>E133/(1-F133)</f>
        <v>0</v>
      </c>
      <c r="H133" s="348">
        <f>140*(20+60+200)</f>
        <v>39200</v>
      </c>
      <c r="I133" s="83">
        <v>0.15</v>
      </c>
      <c r="J133" s="79">
        <f>H133*(1+I133)</f>
        <v>45080</v>
      </c>
      <c r="K133" s="349">
        <f>J133*D133</f>
        <v>0</v>
      </c>
      <c r="L133" s="350">
        <f>G133+J133</f>
        <v>45080</v>
      </c>
      <c r="M133" s="351">
        <f>D133*L133</f>
        <v>0</v>
      </c>
      <c r="N133" s="258"/>
      <c r="O133" s="258"/>
    </row>
    <row r="134" spans="1:15" s="297" customFormat="1" ht="14.15" customHeight="1" x14ac:dyDescent="0.3">
      <c r="A134" s="341" t="s">
        <v>206</v>
      </c>
      <c r="B134" s="443" t="s">
        <v>207</v>
      </c>
      <c r="C134" s="87" t="s">
        <v>42</v>
      </c>
      <c r="D134" s="1">
        <v>0</v>
      </c>
      <c r="E134" s="36">
        <f>35*(50+50)</f>
        <v>3500</v>
      </c>
      <c r="F134" s="41">
        <v>0.2</v>
      </c>
      <c r="G134" s="348">
        <f>E134/(1-F134)</f>
        <v>4375</v>
      </c>
      <c r="H134" s="348">
        <f>5*(50+50+50)</f>
        <v>750</v>
      </c>
      <c r="I134" s="83">
        <v>0.15</v>
      </c>
      <c r="J134" s="79">
        <f>H134*(1+I134)</f>
        <v>862.49999999999989</v>
      </c>
      <c r="K134" s="349">
        <f>J134*D134</f>
        <v>0</v>
      </c>
      <c r="L134" s="350">
        <f>G134+J134</f>
        <v>5237.5</v>
      </c>
      <c r="M134" s="351">
        <f>D134*L134</f>
        <v>0</v>
      </c>
      <c r="N134" s="258"/>
      <c r="O134" s="258"/>
    </row>
    <row r="135" spans="1:15" s="297" customFormat="1" ht="14.5" customHeight="1" thickBot="1" x14ac:dyDescent="0.35">
      <c r="A135" s="381" t="s">
        <v>208</v>
      </c>
      <c r="B135" s="446" t="s">
        <v>209</v>
      </c>
      <c r="C135" s="86" t="s">
        <v>42</v>
      </c>
      <c r="D135" s="50">
        <v>0</v>
      </c>
      <c r="E135" s="51">
        <f>4500*3</f>
        <v>13500</v>
      </c>
      <c r="F135" s="52">
        <v>0.2</v>
      </c>
      <c r="G135" s="376">
        <f>E135/(1-F135)</f>
        <v>16875</v>
      </c>
      <c r="H135" s="376">
        <v>5</v>
      </c>
      <c r="I135" s="84">
        <v>0.15</v>
      </c>
      <c r="J135" s="80">
        <f>H135*(1+I135)</f>
        <v>5.75</v>
      </c>
      <c r="K135" s="382">
        <f>J135*D135</f>
        <v>0</v>
      </c>
      <c r="L135" s="407">
        <f>G135+J135</f>
        <v>16880.75</v>
      </c>
      <c r="M135" s="378">
        <f>D135*L135</f>
        <v>0</v>
      </c>
      <c r="N135" s="258"/>
      <c r="O135" s="258"/>
    </row>
    <row r="136" spans="1:15" s="297" customFormat="1" ht="14.5" customHeight="1" thickBot="1" x14ac:dyDescent="0.35">
      <c r="A136" s="404"/>
      <c r="B136" s="456"/>
      <c r="C136" s="1"/>
      <c r="D136" s="1"/>
      <c r="E136" s="36"/>
      <c r="F136" s="41"/>
      <c r="G136" s="348"/>
      <c r="H136" s="348"/>
      <c r="I136" s="79"/>
      <c r="J136" s="79"/>
      <c r="K136" s="406"/>
      <c r="L136" s="350"/>
      <c r="M136" s="351"/>
      <c r="N136" s="258"/>
      <c r="O136" s="258"/>
    </row>
    <row r="137" spans="1:15" s="297" customFormat="1" ht="14.15" customHeight="1" x14ac:dyDescent="0.3">
      <c r="A137" s="359">
        <v>2.1800000000000002</v>
      </c>
      <c r="B137" s="450"/>
      <c r="C137" s="91"/>
      <c r="D137" s="55" t="s">
        <v>210</v>
      </c>
      <c r="E137" s="56"/>
      <c r="F137" s="57"/>
      <c r="G137" s="361"/>
      <c r="H137" s="361"/>
      <c r="I137" s="56"/>
      <c r="J137" s="56"/>
      <c r="K137" s="362"/>
      <c r="L137" s="363"/>
      <c r="M137" s="363"/>
      <c r="N137" s="258"/>
      <c r="O137" s="258"/>
    </row>
    <row r="138" spans="1:15" s="297" customFormat="1" ht="14.15" customHeight="1" x14ac:dyDescent="0.3">
      <c r="A138" s="341"/>
      <c r="B138" s="454"/>
      <c r="C138" s="87"/>
      <c r="D138" s="1"/>
      <c r="E138" s="36"/>
      <c r="F138" s="41"/>
      <c r="G138" s="348"/>
      <c r="H138" s="348"/>
      <c r="I138" s="79"/>
      <c r="J138" s="79"/>
      <c r="K138" s="349"/>
      <c r="L138" s="350"/>
      <c r="M138" s="351"/>
      <c r="N138" s="258"/>
      <c r="O138" s="258"/>
    </row>
    <row r="139" spans="1:15" s="297" customFormat="1" ht="14.15" customHeight="1" x14ac:dyDescent="0.3">
      <c r="A139" s="341" t="s">
        <v>211</v>
      </c>
      <c r="B139" s="443" t="s">
        <v>243</v>
      </c>
      <c r="C139" s="87" t="s">
        <v>42</v>
      </c>
      <c r="D139" s="1">
        <v>0</v>
      </c>
      <c r="E139" s="36">
        <v>10000</v>
      </c>
      <c r="F139" s="41">
        <v>0.2</v>
      </c>
      <c r="G139" s="348">
        <f>E139/(1-F139)</f>
        <v>12500</v>
      </c>
      <c r="H139" s="348">
        <f>2500*3</f>
        <v>7500</v>
      </c>
      <c r="I139" s="79"/>
      <c r="J139" s="79"/>
      <c r="K139" s="349">
        <f>H139*D139</f>
        <v>0</v>
      </c>
      <c r="L139" s="350">
        <f>G139+J139</f>
        <v>12500</v>
      </c>
      <c r="M139" s="351">
        <f>D139*L139</f>
        <v>0</v>
      </c>
      <c r="N139" s="258"/>
      <c r="O139" s="258"/>
    </row>
    <row r="140" spans="1:15" s="297" customFormat="1" ht="14.5" customHeight="1" thickBot="1" x14ac:dyDescent="0.35">
      <c r="A140" s="381"/>
      <c r="B140" s="411"/>
      <c r="C140" s="50"/>
      <c r="D140" s="50"/>
      <c r="E140" s="51"/>
      <c r="F140" s="52"/>
      <c r="G140" s="376"/>
      <c r="H140" s="376"/>
      <c r="I140" s="80"/>
      <c r="J140" s="80"/>
      <c r="K140" s="382">
        <f>H140*D140</f>
        <v>0</v>
      </c>
      <c r="L140" s="412"/>
      <c r="M140" s="378"/>
      <c r="N140" s="258"/>
      <c r="O140" s="258"/>
    </row>
    <row r="141" spans="1:15" s="297" customFormat="1" ht="14.15" customHeight="1" x14ac:dyDescent="0.3">
      <c r="A141" s="369"/>
      <c r="B141" s="413"/>
      <c r="C141" s="1"/>
      <c r="D141" s="1"/>
      <c r="E141" s="36"/>
      <c r="F141" s="41"/>
      <c r="G141" s="348"/>
      <c r="H141" s="348"/>
      <c r="I141" s="36"/>
      <c r="J141" s="36"/>
      <c r="K141" s="414"/>
      <c r="L141" s="350"/>
      <c r="M141" s="351"/>
      <c r="N141" s="258"/>
      <c r="O141" s="258"/>
    </row>
    <row r="142" spans="1:15" s="297" customFormat="1" ht="14.15" customHeight="1" x14ac:dyDescent="0.3">
      <c r="A142" s="404">
        <v>2.19</v>
      </c>
      <c r="B142" s="455" t="s">
        <v>213</v>
      </c>
      <c r="C142" s="29"/>
      <c r="D142" s="1"/>
      <c r="E142" s="36"/>
      <c r="F142" s="41"/>
      <c r="G142" s="348"/>
      <c r="H142" s="348"/>
      <c r="I142" s="36"/>
      <c r="J142" s="36"/>
      <c r="K142" s="415">
        <f>H142*D142</f>
        <v>0</v>
      </c>
      <c r="L142" s="350"/>
      <c r="M142" s="351"/>
      <c r="N142" s="258"/>
      <c r="O142" s="258"/>
    </row>
    <row r="143" spans="1:15" s="297" customFormat="1" ht="14.15" customHeight="1" x14ac:dyDescent="0.3">
      <c r="A143" s="404" t="s">
        <v>214</v>
      </c>
      <c r="B143" s="443" t="s">
        <v>215</v>
      </c>
      <c r="C143" s="29" t="s">
        <v>42</v>
      </c>
      <c r="D143" s="1">
        <v>1</v>
      </c>
      <c r="E143" s="36">
        <v>25000</v>
      </c>
      <c r="F143" s="41">
        <v>0</v>
      </c>
      <c r="G143" s="348">
        <f>E143/(1-F143)</f>
        <v>25000</v>
      </c>
      <c r="H143" s="348">
        <v>0</v>
      </c>
      <c r="I143" s="36"/>
      <c r="J143" s="36"/>
      <c r="K143" s="415">
        <f>H143*D143</f>
        <v>0</v>
      </c>
      <c r="L143" s="350">
        <f>G143+H143</f>
        <v>25000</v>
      </c>
      <c r="M143" s="351">
        <f>D143*L143</f>
        <v>25000</v>
      </c>
      <c r="N143" s="258"/>
      <c r="O143" s="258"/>
    </row>
    <row r="144" spans="1:15" s="297" customFormat="1" ht="14.15" customHeight="1" x14ac:dyDescent="0.3">
      <c r="A144" s="404"/>
      <c r="B144" s="455"/>
      <c r="C144" s="29"/>
      <c r="D144" s="1"/>
      <c r="E144" s="36"/>
      <c r="F144" s="41"/>
      <c r="G144" s="348"/>
      <c r="H144" s="348"/>
      <c r="I144" s="36"/>
      <c r="J144" s="36"/>
      <c r="K144" s="415"/>
      <c r="L144" s="350"/>
      <c r="M144" s="351"/>
      <c r="N144" s="258"/>
      <c r="O144" s="258"/>
    </row>
    <row r="145" spans="1:15" s="297" customFormat="1" ht="14.15" customHeight="1" x14ac:dyDescent="0.3">
      <c r="A145" s="416">
        <v>2.2000000000000002</v>
      </c>
      <c r="B145" s="455" t="s">
        <v>216</v>
      </c>
      <c r="C145" s="29"/>
      <c r="D145" s="1"/>
      <c r="E145" s="36"/>
      <c r="F145" s="41"/>
      <c r="G145" s="348"/>
      <c r="H145" s="348"/>
      <c r="I145" s="36"/>
      <c r="J145" s="36"/>
      <c r="K145" s="415">
        <f>H145*D145</f>
        <v>0</v>
      </c>
      <c r="L145" s="350"/>
      <c r="M145" s="351"/>
      <c r="N145" s="258"/>
      <c r="O145" s="258"/>
    </row>
    <row r="146" spans="1:15" s="297" customFormat="1" ht="14.15" customHeight="1" x14ac:dyDescent="0.3">
      <c r="A146" s="404" t="s">
        <v>217</v>
      </c>
      <c r="B146" s="443" t="s">
        <v>218</v>
      </c>
      <c r="C146" s="29" t="s">
        <v>42</v>
      </c>
      <c r="D146" s="1">
        <v>1</v>
      </c>
      <c r="E146" s="36">
        <f>15000</f>
        <v>15000</v>
      </c>
      <c r="F146" s="41">
        <v>0</v>
      </c>
      <c r="G146" s="348">
        <f>E146/(1-F146)</f>
        <v>15000</v>
      </c>
      <c r="H146" s="348">
        <v>0</v>
      </c>
      <c r="I146" s="36"/>
      <c r="J146" s="36"/>
      <c r="K146" s="415">
        <f>H146*D146</f>
        <v>0</v>
      </c>
      <c r="L146" s="350">
        <f>G146+H146</f>
        <v>15000</v>
      </c>
      <c r="M146" s="351">
        <f>D146*L146</f>
        <v>15000</v>
      </c>
      <c r="N146" s="258"/>
      <c r="O146" s="258"/>
    </row>
    <row r="147" spans="1:15" s="297" customFormat="1" ht="14.15" customHeight="1" x14ac:dyDescent="0.3">
      <c r="A147" s="404"/>
      <c r="B147" s="455"/>
      <c r="C147" s="29"/>
      <c r="D147" s="1"/>
      <c r="E147" s="36"/>
      <c r="F147" s="41"/>
      <c r="G147" s="348"/>
      <c r="H147" s="348"/>
      <c r="I147" s="36"/>
      <c r="J147" s="36"/>
      <c r="K147" s="415"/>
      <c r="L147" s="350"/>
      <c r="M147" s="351"/>
      <c r="N147" s="258"/>
      <c r="O147" s="258"/>
    </row>
    <row r="148" spans="1:15" s="297" customFormat="1" ht="14.15" customHeight="1" x14ac:dyDescent="0.3">
      <c r="A148" s="404">
        <v>2.21</v>
      </c>
      <c r="B148" s="455" t="s">
        <v>219</v>
      </c>
      <c r="C148" s="29"/>
      <c r="D148" s="1"/>
      <c r="E148" s="36"/>
      <c r="F148" s="41"/>
      <c r="G148" s="348"/>
      <c r="H148" s="348"/>
      <c r="I148" s="36"/>
      <c r="J148" s="36"/>
      <c r="K148" s="415">
        <f>H148*D148</f>
        <v>0</v>
      </c>
      <c r="L148" s="350"/>
      <c r="M148" s="351"/>
      <c r="N148" s="258"/>
      <c r="O148" s="258"/>
    </row>
    <row r="149" spans="1:15" ht="14.15" customHeight="1" x14ac:dyDescent="0.3">
      <c r="A149" s="404" t="s">
        <v>220</v>
      </c>
      <c r="B149" s="443" t="s">
        <v>221</v>
      </c>
      <c r="C149" s="29" t="s">
        <v>42</v>
      </c>
      <c r="D149" s="1">
        <v>1</v>
      </c>
      <c r="E149" s="36">
        <f>5000</f>
        <v>5000</v>
      </c>
      <c r="F149" s="41">
        <v>0</v>
      </c>
      <c r="G149" s="348">
        <f>E149/(1-F149)</f>
        <v>5000</v>
      </c>
      <c r="H149" s="348">
        <v>0</v>
      </c>
      <c r="I149" s="36"/>
      <c r="J149" s="36"/>
      <c r="K149" s="415">
        <f>H149*D149</f>
        <v>0</v>
      </c>
      <c r="L149" s="350">
        <f>G149+H149</f>
        <v>5000</v>
      </c>
      <c r="M149" s="351">
        <f>D149*L149</f>
        <v>5000</v>
      </c>
      <c r="N149" s="258"/>
      <c r="O149" s="258"/>
    </row>
    <row r="150" spans="1:15" ht="14.15" customHeight="1" x14ac:dyDescent="0.3">
      <c r="A150" s="404" t="s">
        <v>222</v>
      </c>
      <c r="B150" s="443" t="s">
        <v>223</v>
      </c>
      <c r="C150" s="29" t="s">
        <v>42</v>
      </c>
      <c r="D150" s="1">
        <v>1</v>
      </c>
      <c r="E150" s="36">
        <f>50000</f>
        <v>50000</v>
      </c>
      <c r="F150" s="41">
        <v>0</v>
      </c>
      <c r="G150" s="348">
        <f>E150/(1-F150)</f>
        <v>50000</v>
      </c>
      <c r="H150" s="348">
        <v>0</v>
      </c>
      <c r="I150" s="36"/>
      <c r="J150" s="36"/>
      <c r="K150" s="415">
        <f>H150*D150</f>
        <v>0</v>
      </c>
      <c r="L150" s="350">
        <f>G150+H150</f>
        <v>50000</v>
      </c>
      <c r="M150" s="351">
        <f>D150*L150</f>
        <v>50000</v>
      </c>
      <c r="N150" s="258"/>
      <c r="O150" s="258"/>
    </row>
    <row r="151" spans="1:15" ht="14.15" customHeight="1" x14ac:dyDescent="0.3">
      <c r="A151" s="404"/>
      <c r="B151" s="413"/>
      <c r="C151" s="28"/>
      <c r="D151" s="1"/>
      <c r="E151" s="36"/>
      <c r="F151" s="41"/>
      <c r="G151" s="348"/>
      <c r="H151" s="348"/>
      <c r="I151" s="36"/>
      <c r="J151" s="36"/>
      <c r="K151" s="415"/>
      <c r="L151" s="350"/>
      <c r="M151" s="351"/>
      <c r="N151" s="258"/>
      <c r="O151" s="258"/>
    </row>
    <row r="152" spans="1:15" ht="14.15" customHeight="1" x14ac:dyDescent="0.3">
      <c r="A152" s="404">
        <v>2.2200000000000002</v>
      </c>
      <c r="B152" s="455" t="s">
        <v>224</v>
      </c>
      <c r="C152" s="28"/>
      <c r="D152" s="1"/>
      <c r="E152" s="36"/>
      <c r="F152" s="41"/>
      <c r="G152" s="348"/>
      <c r="H152" s="348"/>
      <c r="I152" s="36"/>
      <c r="J152" s="36"/>
      <c r="K152" s="415">
        <f>H152*D152</f>
        <v>0</v>
      </c>
      <c r="L152" s="350"/>
      <c r="M152" s="351"/>
      <c r="N152" s="258"/>
      <c r="O152" s="258"/>
    </row>
    <row r="153" spans="1:15" ht="14.15" customHeight="1" x14ac:dyDescent="0.3">
      <c r="A153" s="404"/>
      <c r="B153" s="413"/>
      <c r="C153" s="28"/>
      <c r="D153" s="1"/>
      <c r="E153" s="36"/>
      <c r="F153" s="41"/>
      <c r="G153" s="348"/>
      <c r="H153" s="348"/>
      <c r="I153" s="36"/>
      <c r="J153" s="36"/>
      <c r="K153" s="415">
        <f>H153*D153</f>
        <v>0</v>
      </c>
      <c r="L153" s="350"/>
      <c r="M153" s="351"/>
      <c r="N153" s="258"/>
      <c r="O153" s="258"/>
    </row>
    <row r="154" spans="1:15" ht="28" customHeight="1" x14ac:dyDescent="0.3">
      <c r="A154" s="404" t="s">
        <v>225</v>
      </c>
      <c r="B154" s="443" t="s">
        <v>226</v>
      </c>
      <c r="C154" s="1" t="s">
        <v>42</v>
      </c>
      <c r="D154" s="1">
        <v>1</v>
      </c>
      <c r="E154" s="36">
        <f>5000*3</f>
        <v>15000</v>
      </c>
      <c r="F154" s="41">
        <v>0.2</v>
      </c>
      <c r="G154" s="348">
        <f>E154/(1-F154)</f>
        <v>18750</v>
      </c>
      <c r="H154" s="348">
        <v>1</v>
      </c>
      <c r="I154" s="36"/>
      <c r="J154" s="36"/>
      <c r="K154" s="415">
        <f>H154*D154</f>
        <v>1</v>
      </c>
      <c r="L154" s="350">
        <f>G154+H154</f>
        <v>18751</v>
      </c>
      <c r="M154" s="351">
        <f>D154*L154</f>
        <v>18751</v>
      </c>
      <c r="N154" s="258"/>
      <c r="O154" s="258"/>
    </row>
    <row r="155" spans="1:15" ht="14.15" customHeight="1" x14ac:dyDescent="0.3">
      <c r="A155" s="404"/>
      <c r="B155" s="413"/>
      <c r="C155" s="28"/>
      <c r="D155" s="1"/>
      <c r="E155" s="36"/>
      <c r="F155" s="41"/>
      <c r="G155" s="348"/>
      <c r="H155" s="348"/>
      <c r="I155" s="36"/>
      <c r="J155" s="36"/>
      <c r="K155" s="417"/>
      <c r="L155" s="350"/>
      <c r="M155" s="418"/>
      <c r="N155" s="258"/>
      <c r="O155" s="258"/>
    </row>
    <row r="156" spans="1:15" ht="14.5" customHeight="1" thickBot="1" x14ac:dyDescent="0.35">
      <c r="A156" s="440"/>
      <c r="B156" s="413"/>
      <c r="C156" s="28"/>
      <c r="D156" s="1"/>
      <c r="E156" s="36"/>
      <c r="F156" s="41"/>
      <c r="G156" s="348"/>
      <c r="H156" s="348"/>
      <c r="I156" s="36"/>
      <c r="J156" s="36"/>
      <c r="K156" s="417"/>
      <c r="L156" s="350"/>
      <c r="M156" s="418"/>
      <c r="N156" s="258"/>
      <c r="O156" s="258"/>
    </row>
    <row r="157" spans="1:15" ht="18.75" customHeight="1" thickTop="1" x14ac:dyDescent="0.3">
      <c r="A157" s="419"/>
      <c r="B157" s="457" t="s">
        <v>227</v>
      </c>
      <c r="C157" s="2"/>
      <c r="D157" s="2"/>
      <c r="E157" s="39"/>
      <c r="F157" s="42"/>
      <c r="G157" s="421"/>
      <c r="H157" s="421"/>
      <c r="I157" s="39"/>
      <c r="J157" s="39"/>
      <c r="K157" s="422">
        <f>SUM(K11:K154)</f>
        <v>368438</v>
      </c>
      <c r="L157" s="458"/>
      <c r="M157" s="424">
        <f>SUM(M11:M156)</f>
        <v>2798746.6170833339</v>
      </c>
      <c r="N157" s="518">
        <f>M157*1.15</f>
        <v>3218558.6096458337</v>
      </c>
      <c r="O157" s="258"/>
    </row>
    <row r="158" spans="1:15" ht="16.5" customHeight="1" x14ac:dyDescent="0.3">
      <c r="A158" s="426"/>
      <c r="B158" s="427"/>
      <c r="C158" s="257"/>
      <c r="D158" s="47"/>
      <c r="E158" s="250"/>
      <c r="F158" s="48"/>
      <c r="G158" s="428"/>
      <c r="H158" s="428"/>
      <c r="I158" s="250"/>
      <c r="J158" s="250"/>
      <c r="K158" s="429"/>
      <c r="L158" s="430"/>
      <c r="M158" s="431"/>
      <c r="N158" s="258"/>
      <c r="O158" s="258"/>
    </row>
    <row r="159" spans="1:15" ht="18.75" customHeight="1" x14ac:dyDescent="0.3">
      <c r="A159" s="258"/>
      <c r="B159" s="387"/>
      <c r="C159" s="34"/>
      <c r="D159" s="249"/>
      <c r="E159" s="249"/>
      <c r="F159" s="249"/>
      <c r="G159" s="432"/>
      <c r="H159" s="432"/>
      <c r="I159" s="249"/>
      <c r="J159" s="249"/>
      <c r="K159" s="432"/>
      <c r="L159" s="433"/>
      <c r="M159" s="434"/>
      <c r="N159" s="258"/>
      <c r="O159" s="258"/>
    </row>
    <row r="160" spans="1:15" ht="18.75" customHeight="1" x14ac:dyDescent="0.25">
      <c r="A160" s="258"/>
      <c r="B160" s="258"/>
      <c r="G160" s="258"/>
      <c r="H160" s="258"/>
      <c r="K160" s="258"/>
      <c r="L160" s="258"/>
      <c r="M160" s="258"/>
      <c r="N160" s="258"/>
      <c r="O160" s="258"/>
    </row>
    <row r="161" spans="1:15" ht="18.75" customHeight="1" x14ac:dyDescent="0.25">
      <c r="A161" s="258"/>
      <c r="B161" s="258"/>
      <c r="G161" s="258"/>
      <c r="H161" s="258"/>
      <c r="K161" s="258"/>
      <c r="L161" s="258"/>
      <c r="M161" s="258"/>
      <c r="N161" s="258"/>
      <c r="O161" s="258"/>
    </row>
    <row r="162" spans="1:15" ht="18.75" customHeight="1" x14ac:dyDescent="0.25">
      <c r="A162" s="258"/>
      <c r="B162" s="258"/>
      <c r="G162" s="258"/>
      <c r="H162" s="258"/>
      <c r="K162" s="258"/>
      <c r="L162" s="258"/>
      <c r="M162" s="258"/>
      <c r="N162" s="258"/>
      <c r="O162" s="258"/>
    </row>
    <row r="163" spans="1:15" ht="18.75" customHeight="1" x14ac:dyDescent="0.25">
      <c r="A163" s="258"/>
      <c r="B163" s="258"/>
      <c r="G163" s="258"/>
      <c r="H163" s="258"/>
      <c r="K163" s="258"/>
      <c r="L163" s="258"/>
      <c r="M163" s="258"/>
      <c r="N163" s="258"/>
      <c r="O163" s="258"/>
    </row>
    <row r="164" spans="1:15" ht="18.75" customHeight="1" x14ac:dyDescent="0.25">
      <c r="A164" s="258"/>
      <c r="B164" s="258"/>
      <c r="G164" s="258"/>
      <c r="H164" s="258"/>
      <c r="K164" s="258"/>
      <c r="L164" s="258"/>
      <c r="M164" s="258"/>
      <c r="N164" s="258"/>
      <c r="O164" s="258"/>
    </row>
    <row r="165" spans="1:15" ht="18.75" customHeight="1" x14ac:dyDescent="0.25">
      <c r="A165" s="258"/>
      <c r="B165" s="258"/>
      <c r="G165" s="258"/>
      <c r="H165" s="258"/>
      <c r="K165" s="258"/>
      <c r="L165" s="258"/>
      <c r="M165" s="258"/>
      <c r="N165" s="258"/>
      <c r="O165" s="258"/>
    </row>
    <row r="166" spans="1:15" ht="18.75" customHeight="1" x14ac:dyDescent="0.25">
      <c r="A166" s="258"/>
      <c r="B166" s="258"/>
      <c r="G166" s="258"/>
      <c r="H166" s="258"/>
      <c r="K166" s="258"/>
      <c r="L166" s="258"/>
      <c r="M166" s="258"/>
      <c r="N166" s="258"/>
      <c r="O166" s="258"/>
    </row>
    <row r="167" spans="1:15" ht="18.75" customHeight="1" x14ac:dyDescent="0.25">
      <c r="A167" s="258"/>
      <c r="B167" s="258"/>
      <c r="G167" s="258"/>
      <c r="H167" s="258"/>
      <c r="K167" s="258"/>
      <c r="L167" s="258"/>
      <c r="M167" s="258"/>
      <c r="N167" s="258"/>
      <c r="O167" s="258"/>
    </row>
    <row r="168" spans="1:15" ht="18.75" customHeight="1" x14ac:dyDescent="0.25">
      <c r="A168" s="258"/>
      <c r="B168" s="258"/>
      <c r="G168" s="258"/>
      <c r="H168" s="258"/>
      <c r="K168" s="258"/>
      <c r="L168" s="258"/>
      <c r="M168" s="258"/>
      <c r="N168" s="258"/>
      <c r="O168" s="258"/>
    </row>
    <row r="169" spans="1:15" s="8" customFormat="1" ht="18.75" customHeight="1" x14ac:dyDescent="0.25">
      <c r="A169" s="258"/>
      <c r="B169" s="435"/>
      <c r="C169" s="35"/>
      <c r="G169" s="258"/>
      <c r="H169" s="258"/>
      <c r="K169" s="258"/>
      <c r="L169" s="436"/>
      <c r="M169" s="437"/>
      <c r="N169" s="258"/>
      <c r="O169" s="258"/>
    </row>
    <row r="170" spans="1:15" s="8" customFormat="1" ht="18.75" customHeight="1" x14ac:dyDescent="0.25">
      <c r="A170" s="258"/>
      <c r="B170" s="435"/>
      <c r="C170" s="35"/>
      <c r="G170" s="258"/>
      <c r="H170" s="258"/>
      <c r="K170" s="258"/>
      <c r="L170" s="436"/>
      <c r="M170" s="437"/>
      <c r="N170" s="258"/>
      <c r="O170" s="258"/>
    </row>
    <row r="171" spans="1:15" s="8" customFormat="1" ht="18.75" customHeight="1" x14ac:dyDescent="0.25">
      <c r="A171" s="258"/>
      <c r="B171" s="435"/>
      <c r="C171" s="35"/>
      <c r="G171" s="258"/>
      <c r="H171" s="258"/>
      <c r="K171" s="258"/>
      <c r="L171" s="436"/>
      <c r="M171" s="437"/>
      <c r="N171" s="258"/>
      <c r="O171" s="258"/>
    </row>
    <row r="172" spans="1:15" s="8" customFormat="1" ht="18.75" customHeight="1" x14ac:dyDescent="0.25">
      <c r="A172" s="258"/>
      <c r="B172" s="435"/>
      <c r="C172" s="35"/>
      <c r="G172" s="258"/>
      <c r="H172" s="258"/>
      <c r="K172" s="258"/>
      <c r="L172" s="436"/>
      <c r="M172" s="437"/>
      <c r="N172" s="258"/>
      <c r="O172" s="258"/>
    </row>
    <row r="173" spans="1:15" s="8" customFormat="1" ht="18.75" customHeight="1" x14ac:dyDescent="0.25">
      <c r="A173" s="258"/>
      <c r="B173" s="435"/>
      <c r="C173" s="35"/>
      <c r="G173" s="258"/>
      <c r="H173" s="258"/>
      <c r="K173" s="258"/>
      <c r="L173" s="436"/>
      <c r="M173" s="437"/>
      <c r="N173" s="258"/>
      <c r="O173" s="258"/>
    </row>
    <row r="174" spans="1:15" s="8" customFormat="1" ht="18.75" customHeight="1" x14ac:dyDescent="0.25">
      <c r="A174" s="258"/>
      <c r="B174" s="435"/>
      <c r="C174" s="35"/>
      <c r="G174" s="258"/>
      <c r="H174" s="258"/>
      <c r="K174" s="258"/>
      <c r="L174" s="436"/>
      <c r="M174" s="437"/>
      <c r="N174" s="258"/>
      <c r="O174" s="258"/>
    </row>
    <row r="175" spans="1:15" s="8" customFormat="1" ht="18.75" customHeight="1" x14ac:dyDescent="0.25">
      <c r="A175" s="258"/>
      <c r="B175" s="435"/>
      <c r="C175" s="35"/>
      <c r="G175" s="258"/>
      <c r="H175" s="258"/>
      <c r="K175" s="258"/>
      <c r="L175" s="436"/>
      <c r="M175" s="437"/>
      <c r="N175" s="258"/>
      <c r="O175" s="258"/>
    </row>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O175"/>
  <sheetViews>
    <sheetView view="pageBreakPreview" zoomScaleNormal="100" zoomScaleSheetLayoutView="100" workbookViewId="0">
      <pane ySplit="5" topLeftCell="A11" activePane="bottomLeft" state="frozen"/>
      <selection pane="bottomLeft" activeCell="E21" sqref="E21"/>
    </sheetView>
  </sheetViews>
  <sheetFormatPr defaultColWidth="8.54296875" defaultRowHeight="12.5" x14ac:dyDescent="0.25"/>
  <cols>
    <col min="1" max="1" width="16.453125" style="8" customWidth="1"/>
    <col min="2" max="2" width="81.453125" style="45" customWidth="1"/>
    <col min="3" max="3" width="7.54296875" style="35" customWidth="1"/>
    <col min="4" max="4" width="14.453125" style="8" customWidth="1"/>
    <col min="5" max="5" width="14.54296875" style="8" customWidth="1"/>
    <col min="6" max="6" width="11.453125" style="8" customWidth="1"/>
    <col min="7" max="7" width="17.453125" style="8" bestFit="1" customWidth="1"/>
    <col min="8" max="10" width="13.81640625" style="8" customWidth="1"/>
    <col min="11" max="11" width="14.81640625" style="8" bestFit="1" customWidth="1"/>
    <col min="12" max="12" width="13.54296875" style="295" bestFit="1" customWidth="1"/>
    <col min="13" max="13" width="16.81640625" style="296" bestFit="1" customWidth="1"/>
    <col min="14" max="14" width="14.54296875" customWidth="1"/>
  </cols>
  <sheetData>
    <row r="1" spans="1:15" ht="15.65" customHeight="1" x14ac:dyDescent="0.35">
      <c r="A1" s="606" t="s">
        <v>0</v>
      </c>
      <c r="B1" s="560"/>
      <c r="C1" s="559"/>
      <c r="D1" s="586"/>
      <c r="E1" s="586"/>
      <c r="F1" s="586"/>
      <c r="G1" s="560"/>
      <c r="H1" s="560"/>
      <c r="I1" s="586"/>
      <c r="J1" s="586"/>
      <c r="K1" s="560"/>
      <c r="L1" s="560"/>
      <c r="M1" s="560"/>
      <c r="N1" s="560"/>
      <c r="O1" s="560"/>
    </row>
    <row r="2" spans="1:15" ht="15.65" customHeight="1" x14ac:dyDescent="0.35">
      <c r="A2" s="605" t="e">
        <f>'SECTION 1-P&amp;G'!C8:H8</f>
        <v>#VALUE!</v>
      </c>
      <c r="B2" s="560"/>
      <c r="C2" s="559"/>
      <c r="D2" s="586"/>
      <c r="E2" s="586"/>
      <c r="F2" s="586"/>
      <c r="G2" s="560"/>
      <c r="H2" s="560"/>
      <c r="I2" s="586"/>
      <c r="J2" s="586"/>
      <c r="K2" s="560"/>
      <c r="L2" s="560"/>
      <c r="M2" s="560"/>
      <c r="N2" s="560"/>
      <c r="O2" s="299"/>
    </row>
    <row r="3" spans="1:15" ht="16" customHeight="1" thickBot="1" x14ac:dyDescent="0.4">
      <c r="A3" s="300" t="s">
        <v>60</v>
      </c>
      <c r="B3" s="301"/>
      <c r="C3" s="31"/>
      <c r="D3" s="4"/>
      <c r="E3" s="4"/>
      <c r="F3" s="4"/>
      <c r="G3" s="302"/>
      <c r="H3" s="302"/>
      <c r="I3" s="4"/>
      <c r="J3" s="4"/>
      <c r="K3" s="302"/>
      <c r="L3" s="303"/>
      <c r="M3" s="304"/>
      <c r="N3" s="299"/>
      <c r="O3" s="299"/>
    </row>
    <row r="4" spans="1:15" ht="18.75" customHeight="1" thickTop="1" thickBot="1" x14ac:dyDescent="0.35">
      <c r="A4" s="306"/>
      <c r="B4" s="307"/>
      <c r="C4" s="32" t="s">
        <v>61</v>
      </c>
      <c r="D4" s="25" t="s">
        <v>62</v>
      </c>
      <c r="E4" s="25" t="s">
        <v>63</v>
      </c>
      <c r="F4" s="25" t="s">
        <v>64</v>
      </c>
      <c r="G4" s="306" t="s">
        <v>65</v>
      </c>
      <c r="H4" s="306" t="s">
        <v>66</v>
      </c>
      <c r="I4" s="25" t="s">
        <v>67</v>
      </c>
      <c r="J4" s="25" t="s">
        <v>68</v>
      </c>
      <c r="K4" s="306" t="s">
        <v>69</v>
      </c>
      <c r="L4" s="308" t="s">
        <v>70</v>
      </c>
      <c r="M4" s="309" t="s">
        <v>71</v>
      </c>
      <c r="N4" s="258"/>
      <c r="O4" s="258"/>
    </row>
    <row r="5" spans="1:15" ht="45.75" customHeight="1" thickTop="1" x14ac:dyDescent="0.3">
      <c r="A5" s="311" t="s">
        <v>34</v>
      </c>
      <c r="B5" s="312" t="s">
        <v>4</v>
      </c>
      <c r="C5" s="33" t="s">
        <v>35</v>
      </c>
      <c r="D5" s="5" t="s">
        <v>36</v>
      </c>
      <c r="E5" s="40" t="s">
        <v>72</v>
      </c>
      <c r="F5" s="82" t="s">
        <v>73</v>
      </c>
      <c r="G5" s="313" t="s">
        <v>74</v>
      </c>
      <c r="H5" s="314" t="s">
        <v>75</v>
      </c>
      <c r="I5" s="82" t="s">
        <v>73</v>
      </c>
      <c r="J5" s="315" t="s">
        <v>76</v>
      </c>
      <c r="K5" s="316" t="s">
        <v>77</v>
      </c>
      <c r="L5" s="317" t="s">
        <v>78</v>
      </c>
      <c r="M5" s="316" t="s">
        <v>79</v>
      </c>
      <c r="N5" s="258"/>
      <c r="O5" s="258"/>
    </row>
    <row r="6" spans="1:15" ht="16.5" customHeight="1" thickBot="1" x14ac:dyDescent="0.35">
      <c r="A6" s="320"/>
      <c r="B6" s="321"/>
      <c r="C6" s="256"/>
      <c r="D6" s="6"/>
      <c r="E6" s="247"/>
      <c r="F6" s="247"/>
      <c r="G6" s="322"/>
      <c r="H6" s="322"/>
      <c r="I6" s="247"/>
      <c r="J6" s="247"/>
      <c r="K6" s="322"/>
      <c r="L6" s="323"/>
      <c r="M6" s="324"/>
      <c r="N6" s="258"/>
      <c r="O6" s="258"/>
    </row>
    <row r="7" spans="1:15" ht="32.15" customHeight="1" x14ac:dyDescent="0.3">
      <c r="A7" s="326">
        <v>2</v>
      </c>
      <c r="B7" s="327"/>
      <c r="C7" s="59"/>
      <c r="D7" s="60" t="s">
        <v>80</v>
      </c>
      <c r="E7" s="60"/>
      <c r="F7" s="60"/>
      <c r="G7" s="328"/>
      <c r="H7" s="328"/>
      <c r="I7" s="60"/>
      <c r="J7" s="60"/>
      <c r="K7" s="328"/>
      <c r="L7" s="329"/>
      <c r="M7" s="329"/>
      <c r="N7" s="258"/>
      <c r="O7" s="258"/>
    </row>
    <row r="8" spans="1:15" ht="16.5" customHeight="1" thickBot="1" x14ac:dyDescent="0.35">
      <c r="A8" s="331"/>
      <c r="B8" s="332"/>
      <c r="C8" s="63"/>
      <c r="D8" s="64"/>
      <c r="E8" s="64"/>
      <c r="F8" s="64"/>
      <c r="G8" s="333"/>
      <c r="H8" s="333"/>
      <c r="I8" s="64"/>
      <c r="J8" s="64"/>
      <c r="K8" s="333"/>
      <c r="L8" s="334"/>
      <c r="M8" s="334"/>
      <c r="N8" s="258"/>
      <c r="O8" s="258"/>
    </row>
    <row r="9" spans="1:15" ht="16.5" customHeight="1" x14ac:dyDescent="0.3">
      <c r="A9" s="336" t="s">
        <v>81</v>
      </c>
      <c r="B9" s="337"/>
      <c r="C9" s="252"/>
      <c r="D9" s="61" t="s">
        <v>82</v>
      </c>
      <c r="E9" s="62"/>
      <c r="F9" s="62"/>
      <c r="G9" s="338"/>
      <c r="H9" s="338"/>
      <c r="I9" s="62"/>
      <c r="J9" s="62"/>
      <c r="K9" s="338"/>
      <c r="L9" s="339"/>
      <c r="M9" s="339"/>
      <c r="N9" s="258"/>
      <c r="O9" s="258"/>
    </row>
    <row r="10" spans="1:15" ht="16.5" customHeight="1" x14ac:dyDescent="0.3">
      <c r="A10" s="341"/>
      <c r="B10" s="342"/>
      <c r="C10" s="30"/>
      <c r="D10" s="1"/>
      <c r="E10" s="248"/>
      <c r="F10" s="248"/>
      <c r="G10" s="343"/>
      <c r="H10" s="343"/>
      <c r="I10" s="249"/>
      <c r="J10" s="249"/>
      <c r="K10" s="344"/>
      <c r="L10" s="345"/>
      <c r="M10" s="346"/>
      <c r="N10" s="258"/>
      <c r="O10" s="258"/>
    </row>
    <row r="11" spans="1:15" ht="42.65" customHeight="1" thickBot="1" x14ac:dyDescent="0.35">
      <c r="A11" s="341" t="s">
        <v>83</v>
      </c>
      <c r="B11" s="347" t="s">
        <v>429</v>
      </c>
      <c r="C11" s="248" t="s">
        <v>85</v>
      </c>
      <c r="D11" s="1">
        <v>0</v>
      </c>
      <c r="E11" s="36">
        <f>1623.93*1.2</f>
        <v>1948.7159999999999</v>
      </c>
      <c r="F11" s="41">
        <v>0.25</v>
      </c>
      <c r="G11" s="348">
        <f>E11/(1-F11)</f>
        <v>2598.288</v>
      </c>
      <c r="H11" s="348">
        <v>350</v>
      </c>
      <c r="I11" s="83">
        <v>0.15</v>
      </c>
      <c r="J11" s="79">
        <f>H11*(1+I11)</f>
        <v>402.49999999999994</v>
      </c>
      <c r="K11" s="349">
        <f>J11*D11</f>
        <v>0</v>
      </c>
      <c r="L11" s="350">
        <f>G11+J11</f>
        <v>3000.788</v>
      </c>
      <c r="M11" s="351">
        <f>D11*L11</f>
        <v>0</v>
      </c>
      <c r="N11" s="258"/>
      <c r="O11" s="258"/>
    </row>
    <row r="12" spans="1:15" ht="14.5" customHeight="1" thickBot="1" x14ac:dyDescent="0.35">
      <c r="A12" s="354"/>
      <c r="B12" s="441"/>
      <c r="C12" s="89"/>
      <c r="D12" s="72"/>
      <c r="E12" s="73"/>
      <c r="F12" s="74"/>
      <c r="G12" s="356"/>
      <c r="H12" s="356"/>
      <c r="I12" s="73"/>
      <c r="J12" s="73"/>
      <c r="K12" s="357"/>
      <c r="L12" s="358"/>
      <c r="M12" s="358"/>
      <c r="N12" s="258"/>
      <c r="O12" s="258"/>
    </row>
    <row r="13" spans="1:15" ht="14.15" customHeight="1" x14ac:dyDescent="0.3">
      <c r="A13" s="359" t="s">
        <v>86</v>
      </c>
      <c r="B13" s="360"/>
      <c r="C13" s="55"/>
      <c r="D13" s="58" t="s">
        <v>87</v>
      </c>
      <c r="E13" s="56"/>
      <c r="F13" s="57"/>
      <c r="G13" s="361"/>
      <c r="H13" s="361"/>
      <c r="I13" s="56"/>
      <c r="J13" s="56"/>
      <c r="K13" s="362"/>
      <c r="L13" s="363"/>
      <c r="M13" s="363"/>
      <c r="N13" s="258"/>
      <c r="O13" s="258"/>
    </row>
    <row r="14" spans="1:15" ht="14.5" customHeight="1" thickBot="1" x14ac:dyDescent="0.35">
      <c r="A14" s="341" t="s">
        <v>88</v>
      </c>
      <c r="B14" s="517" t="s">
        <v>430</v>
      </c>
      <c r="C14" s="85" t="s">
        <v>85</v>
      </c>
      <c r="D14" s="50">
        <v>5</v>
      </c>
      <c r="E14" s="36">
        <f>37623.76*1.2</f>
        <v>45148.512000000002</v>
      </c>
      <c r="F14" s="41">
        <v>0.2</v>
      </c>
      <c r="G14" s="348">
        <f>E14/(1-F14)</f>
        <v>56435.64</v>
      </c>
      <c r="H14" s="348">
        <f>(550*8)+3600</f>
        <v>8000</v>
      </c>
      <c r="I14" s="83">
        <v>0.15</v>
      </c>
      <c r="J14" s="79">
        <f>H14*(1+I14)</f>
        <v>9200</v>
      </c>
      <c r="K14" s="349">
        <f>J14*D14</f>
        <v>46000</v>
      </c>
      <c r="L14" s="350">
        <f>G14+J14</f>
        <v>65635.64</v>
      </c>
      <c r="M14" s="351">
        <f>D14*L14</f>
        <v>328178.2</v>
      </c>
      <c r="N14" s="258"/>
      <c r="O14" s="258"/>
    </row>
    <row r="15" spans="1:15" ht="14.5" customHeight="1" thickBot="1" x14ac:dyDescent="0.35">
      <c r="A15" s="354"/>
      <c r="B15" s="441"/>
      <c r="C15" s="89"/>
      <c r="D15" s="72"/>
      <c r="E15" s="73"/>
      <c r="F15" s="74"/>
      <c r="G15" s="356"/>
      <c r="H15" s="356"/>
      <c r="I15" s="73"/>
      <c r="J15" s="73"/>
      <c r="K15" s="357"/>
      <c r="L15" s="358"/>
      <c r="M15" s="358"/>
      <c r="N15" s="258"/>
      <c r="O15" s="258"/>
    </row>
    <row r="16" spans="1:15" ht="14.15" customHeight="1" x14ac:dyDescent="0.3">
      <c r="A16" s="359">
        <v>2.2999999999999998</v>
      </c>
      <c r="B16" s="367"/>
      <c r="C16" s="55"/>
      <c r="D16" s="58" t="s">
        <v>91</v>
      </c>
      <c r="E16" s="56"/>
      <c r="F16" s="57"/>
      <c r="G16" s="361"/>
      <c r="H16" s="361"/>
      <c r="I16" s="56"/>
      <c r="J16" s="56"/>
      <c r="K16" s="362"/>
      <c r="L16" s="363"/>
      <c r="M16" s="363"/>
      <c r="N16" s="258"/>
      <c r="O16" s="258"/>
    </row>
    <row r="17" spans="1:15" ht="14.5" customHeight="1" thickBot="1" x14ac:dyDescent="0.35">
      <c r="A17" s="341" t="s">
        <v>92</v>
      </c>
      <c r="B17" s="446" t="s">
        <v>431</v>
      </c>
      <c r="C17" s="85" t="s">
        <v>85</v>
      </c>
      <c r="D17" s="50">
        <v>6</v>
      </c>
      <c r="E17" s="51">
        <v>1200</v>
      </c>
      <c r="F17" s="41">
        <v>0.2</v>
      </c>
      <c r="G17" s="348">
        <f>E17/(1-F17)</f>
        <v>1500</v>
      </c>
      <c r="H17" s="348">
        <f>(550*4)+3500</f>
        <v>5700</v>
      </c>
      <c r="I17" s="83">
        <v>0.15</v>
      </c>
      <c r="J17" s="79">
        <f>H17*(1+I17)</f>
        <v>6554.9999999999991</v>
      </c>
      <c r="K17" s="349">
        <f>J17*D17</f>
        <v>39329.999999999993</v>
      </c>
      <c r="L17" s="350">
        <f>G17+J17</f>
        <v>8054.9999999999991</v>
      </c>
      <c r="M17" s="351">
        <f>D17*L17</f>
        <v>48329.999999999993</v>
      </c>
      <c r="N17" s="258"/>
      <c r="O17" s="258"/>
    </row>
    <row r="18" spans="1:15" ht="14.5" customHeight="1" thickBot="1" x14ac:dyDescent="0.35">
      <c r="A18" s="341" t="s">
        <v>94</v>
      </c>
      <c r="B18" s="444" t="s">
        <v>432</v>
      </c>
      <c r="C18" s="248" t="s">
        <v>90</v>
      </c>
      <c r="D18" s="1">
        <v>3</v>
      </c>
      <c r="E18" s="36">
        <v>70000</v>
      </c>
      <c r="F18" s="41">
        <v>0.2</v>
      </c>
      <c r="G18" s="348">
        <f>E18/(1-F18)</f>
        <v>87500</v>
      </c>
      <c r="H18" s="348">
        <f>(550*4)+3500</f>
        <v>5700</v>
      </c>
      <c r="I18" s="83">
        <v>0.15</v>
      </c>
      <c r="J18" s="79">
        <f>H18*(1+I18)</f>
        <v>6554.9999999999991</v>
      </c>
      <c r="K18" s="349">
        <f>J18*D18</f>
        <v>19664.999999999996</v>
      </c>
      <c r="L18" s="350">
        <f>G18+J18</f>
        <v>94055</v>
      </c>
      <c r="M18" s="351">
        <f>D18*L18</f>
        <v>282165</v>
      </c>
      <c r="N18" s="436"/>
      <c r="O18" s="369"/>
    </row>
    <row r="19" spans="1:15" ht="14.15" customHeight="1" x14ac:dyDescent="0.3">
      <c r="A19" s="359">
        <v>2.4</v>
      </c>
      <c r="B19" s="360"/>
      <c r="C19" s="55"/>
      <c r="D19" s="58" t="s">
        <v>96</v>
      </c>
      <c r="E19" s="56"/>
      <c r="F19" s="57"/>
      <c r="G19" s="361"/>
      <c r="H19" s="361"/>
      <c r="I19" s="56"/>
      <c r="J19" s="56"/>
      <c r="K19" s="362"/>
      <c r="L19" s="363"/>
      <c r="M19" s="363"/>
      <c r="N19" s="258"/>
      <c r="O19" s="258"/>
    </row>
    <row r="20" spans="1:15" ht="28" customHeight="1" x14ac:dyDescent="0.3">
      <c r="A20" s="370" t="s">
        <v>97</v>
      </c>
      <c r="B20" s="445" t="s">
        <v>438</v>
      </c>
      <c r="C20" s="7" t="s">
        <v>85</v>
      </c>
      <c r="D20" s="7">
        <v>1</v>
      </c>
      <c r="E20" s="37">
        <f>337953.15*1.2</f>
        <v>405543.78</v>
      </c>
      <c r="F20" s="41">
        <v>0.2</v>
      </c>
      <c r="G20" s="348">
        <f>E20/(1-F20)</f>
        <v>506929.72500000003</v>
      </c>
      <c r="H20" s="371">
        <f>(550*8)+3600</f>
        <v>8000</v>
      </c>
      <c r="I20" s="83">
        <v>0.15</v>
      </c>
      <c r="J20" s="79">
        <f>H20*(1+I20)</f>
        <v>9200</v>
      </c>
      <c r="K20" s="349">
        <f>J20*D20</f>
        <v>9200</v>
      </c>
      <c r="L20" s="350">
        <f>G20+J20</f>
        <v>516129.72500000003</v>
      </c>
      <c r="M20" s="351">
        <f>D20*L20</f>
        <v>516129.72500000003</v>
      </c>
      <c r="N20" s="258"/>
      <c r="O20" s="258"/>
    </row>
    <row r="21" spans="1:15" ht="28" customHeight="1" x14ac:dyDescent="0.3">
      <c r="A21" s="370"/>
      <c r="B21" s="445" t="s">
        <v>439</v>
      </c>
      <c r="C21" s="7" t="s">
        <v>85</v>
      </c>
      <c r="D21" s="7">
        <v>2</v>
      </c>
      <c r="E21" s="37">
        <f>67020.88*1.2</f>
        <v>80425.055999999997</v>
      </c>
      <c r="F21" s="41">
        <v>0.2</v>
      </c>
      <c r="G21" s="348">
        <f>E21/(1-F21)</f>
        <v>100531.31999999999</v>
      </c>
      <c r="H21" s="371">
        <f>(550*8)+3600</f>
        <v>8000</v>
      </c>
      <c r="I21" s="83">
        <v>0.15</v>
      </c>
      <c r="J21" s="79">
        <f>H21*(1+I21)</f>
        <v>9200</v>
      </c>
      <c r="K21" s="349">
        <f>J21*D21</f>
        <v>18400</v>
      </c>
      <c r="L21" s="350">
        <f>G21+J21</f>
        <v>109731.31999999999</v>
      </c>
      <c r="M21" s="351">
        <f>D21*L21</f>
        <v>219462.63999999998</v>
      </c>
      <c r="N21" s="258"/>
      <c r="O21" s="258"/>
    </row>
    <row r="22" spans="1:15" ht="14.15" customHeight="1" x14ac:dyDescent="0.3">
      <c r="A22" s="370"/>
      <c r="B22" s="443"/>
      <c r="C22" s="7"/>
      <c r="D22" s="7"/>
      <c r="E22" s="37"/>
      <c r="F22" s="41"/>
      <c r="G22" s="348"/>
      <c r="H22" s="371"/>
      <c r="I22" s="66"/>
      <c r="J22" s="66"/>
      <c r="K22" s="349"/>
      <c r="L22" s="350"/>
      <c r="M22" s="351"/>
      <c r="N22" s="258"/>
      <c r="O22" s="258"/>
    </row>
    <row r="23" spans="1:15" ht="14.15" customHeight="1" x14ac:dyDescent="0.3">
      <c r="A23" s="370" t="s">
        <v>99</v>
      </c>
      <c r="B23" s="443"/>
      <c r="C23" s="7"/>
      <c r="D23" s="7"/>
      <c r="E23" s="37"/>
      <c r="F23" s="41"/>
      <c r="G23" s="348"/>
      <c r="H23" s="371"/>
      <c r="I23" s="66"/>
      <c r="J23" s="66"/>
      <c r="K23" s="349"/>
      <c r="L23" s="350"/>
      <c r="M23" s="351"/>
      <c r="N23" s="258"/>
      <c r="O23" s="258"/>
    </row>
    <row r="24" spans="1:15" ht="28.5" customHeight="1" thickBot="1" x14ac:dyDescent="0.35">
      <c r="A24" s="374"/>
      <c r="B24" s="446" t="s">
        <v>100</v>
      </c>
      <c r="C24" s="68" t="s">
        <v>85</v>
      </c>
      <c r="D24" s="68">
        <v>4</v>
      </c>
      <c r="E24" s="69">
        <f>1888.71*1.15</f>
        <v>2172.0164999999997</v>
      </c>
      <c r="F24" s="52">
        <v>0.2</v>
      </c>
      <c r="G24" s="376">
        <f>E24/(1-F24)</f>
        <v>2715.0206249999997</v>
      </c>
      <c r="H24" s="377">
        <f>250*1</f>
        <v>250</v>
      </c>
      <c r="I24" s="83">
        <v>0.15</v>
      </c>
      <c r="J24" s="79">
        <f>H24*(1+I24)</f>
        <v>287.5</v>
      </c>
      <c r="K24" s="349">
        <f>J24*D24</f>
        <v>1150</v>
      </c>
      <c r="L24" s="350">
        <f>G24+J24</f>
        <v>3002.5206249999997</v>
      </c>
      <c r="M24" s="378">
        <f>D24*L24</f>
        <v>12010.082499999999</v>
      </c>
      <c r="N24" s="258"/>
      <c r="O24" s="258"/>
    </row>
    <row r="25" spans="1:15" ht="14.5" customHeight="1" thickBot="1" x14ac:dyDescent="0.35">
      <c r="A25" s="354"/>
      <c r="B25" s="441"/>
      <c r="C25" s="89"/>
      <c r="D25" s="72"/>
      <c r="E25" s="73"/>
      <c r="F25" s="74"/>
      <c r="G25" s="356"/>
      <c r="H25" s="356"/>
      <c r="I25" s="73"/>
      <c r="J25" s="73"/>
      <c r="K25" s="357"/>
      <c r="L25" s="358"/>
      <c r="M25" s="358"/>
      <c r="N25" s="258"/>
      <c r="O25" s="258"/>
    </row>
    <row r="26" spans="1:15" ht="14.15" customHeight="1" x14ac:dyDescent="0.3">
      <c r="A26" s="379">
        <v>2.5</v>
      </c>
      <c r="B26" s="360"/>
      <c r="C26" s="55"/>
      <c r="D26" s="58" t="s">
        <v>101</v>
      </c>
      <c r="E26" s="56"/>
      <c r="F26" s="57"/>
      <c r="G26" s="361"/>
      <c r="H26" s="361"/>
      <c r="I26" s="56"/>
      <c r="J26" s="56"/>
      <c r="K26" s="362"/>
      <c r="L26" s="363"/>
      <c r="M26" s="363"/>
      <c r="N26" s="258"/>
      <c r="O26" s="258"/>
    </row>
    <row r="27" spans="1:15" ht="14.15" customHeight="1" x14ac:dyDescent="0.3">
      <c r="A27" s="380" t="s">
        <v>102</v>
      </c>
      <c r="B27" s="444" t="s">
        <v>103</v>
      </c>
      <c r="C27" s="7" t="s">
        <v>85</v>
      </c>
      <c r="D27" s="7">
        <v>1</v>
      </c>
      <c r="E27" s="37">
        <v>650</v>
      </c>
      <c r="F27" s="41">
        <v>0.2</v>
      </c>
      <c r="G27" s="348">
        <f>E27/(1-F27)</f>
        <v>812.5</v>
      </c>
      <c r="H27" s="371">
        <f>(((5*200)*4)*1.2)/D27</f>
        <v>4800</v>
      </c>
      <c r="I27" s="83">
        <v>0.15</v>
      </c>
      <c r="J27" s="79">
        <f>H27*(1+I27)</f>
        <v>5520</v>
      </c>
      <c r="K27" s="349">
        <f>J27*D27</f>
        <v>5520</v>
      </c>
      <c r="L27" s="350">
        <f>G27+J27</f>
        <v>6332.5</v>
      </c>
      <c r="M27" s="351">
        <f>D27*L27</f>
        <v>6332.5</v>
      </c>
      <c r="N27" s="258"/>
      <c r="O27" s="258"/>
    </row>
    <row r="28" spans="1:15" ht="14.5" customHeight="1" thickBot="1" x14ac:dyDescent="0.35">
      <c r="A28" s="381"/>
      <c r="B28" s="446" t="s">
        <v>104</v>
      </c>
      <c r="C28" s="85" t="s">
        <v>42</v>
      </c>
      <c r="D28" s="50">
        <v>1</v>
      </c>
      <c r="E28" s="51">
        <f>10000</f>
        <v>10000</v>
      </c>
      <c r="F28" s="52">
        <v>0.2</v>
      </c>
      <c r="G28" s="376">
        <f>E28/(1-F28)</f>
        <v>12500</v>
      </c>
      <c r="H28" s="376">
        <f>2500*3</f>
        <v>7500</v>
      </c>
      <c r="I28" s="83">
        <v>0.15</v>
      </c>
      <c r="J28" s="79">
        <f>H28*(1+I28)</f>
        <v>8625</v>
      </c>
      <c r="K28" s="382">
        <f>J28*D28</f>
        <v>8625</v>
      </c>
      <c r="L28" s="350">
        <f>G28+J28</f>
        <v>21125</v>
      </c>
      <c r="M28" s="378">
        <f>D28*L28</f>
        <v>21125</v>
      </c>
      <c r="N28" s="258"/>
      <c r="O28" s="258"/>
    </row>
    <row r="29" spans="1:15" ht="14.5" customHeight="1" thickBot="1" x14ac:dyDescent="0.35">
      <c r="A29" s="354"/>
      <c r="B29" s="441"/>
      <c r="C29" s="89"/>
      <c r="D29" s="72"/>
      <c r="E29" s="73"/>
      <c r="F29" s="74"/>
      <c r="G29" s="356"/>
      <c r="H29" s="356"/>
      <c r="I29" s="73"/>
      <c r="J29" s="73"/>
      <c r="K29" s="357"/>
      <c r="L29" s="358"/>
      <c r="M29" s="358"/>
      <c r="N29" s="258"/>
      <c r="O29" s="258"/>
    </row>
    <row r="30" spans="1:15" ht="14.15" customHeight="1" x14ac:dyDescent="0.3">
      <c r="A30" s="359">
        <v>2.6</v>
      </c>
      <c r="B30" s="360"/>
      <c r="C30" s="55"/>
      <c r="D30" s="58" t="s">
        <v>105</v>
      </c>
      <c r="E30" s="56"/>
      <c r="F30" s="57"/>
      <c r="G30" s="361"/>
      <c r="H30" s="361"/>
      <c r="I30" s="56"/>
      <c r="J30" s="56"/>
      <c r="K30" s="362"/>
      <c r="L30" s="363"/>
      <c r="M30" s="363"/>
      <c r="N30" s="258"/>
      <c r="O30" s="258"/>
    </row>
    <row r="31" spans="1:15" ht="42" customHeight="1" x14ac:dyDescent="0.3">
      <c r="A31" s="341" t="s">
        <v>106</v>
      </c>
      <c r="B31" s="444" t="s">
        <v>107</v>
      </c>
      <c r="C31" s="248" t="s">
        <v>108</v>
      </c>
      <c r="D31" s="1">
        <v>0</v>
      </c>
      <c r="E31" s="36">
        <f>14.85*1.15</f>
        <v>17.077499999999997</v>
      </c>
      <c r="F31" s="41">
        <v>0.2</v>
      </c>
      <c r="G31" s="348">
        <f>E31/(1-F31)</f>
        <v>21.346874999999994</v>
      </c>
      <c r="H31" s="348">
        <f>39</f>
        <v>39</v>
      </c>
      <c r="I31" s="83">
        <v>0.15</v>
      </c>
      <c r="J31" s="79">
        <f>H31*(1+I31)</f>
        <v>44.849999999999994</v>
      </c>
      <c r="K31" s="349">
        <f>J31*D31</f>
        <v>0</v>
      </c>
      <c r="L31" s="350">
        <f>G31+J31</f>
        <v>66.196874999999991</v>
      </c>
      <c r="M31" s="351">
        <f>D31*L31</f>
        <v>0</v>
      </c>
      <c r="N31" s="258"/>
      <c r="O31" s="258"/>
    </row>
    <row r="32" spans="1:15" ht="14.15" customHeight="1" x14ac:dyDescent="0.3">
      <c r="A32" s="341" t="s">
        <v>109</v>
      </c>
      <c r="B32" s="443" t="s">
        <v>110</v>
      </c>
      <c r="C32" s="248" t="s">
        <v>108</v>
      </c>
      <c r="D32" s="1">
        <v>32</v>
      </c>
      <c r="E32" s="36">
        <f>300</f>
        <v>300</v>
      </c>
      <c r="F32" s="41">
        <v>0.2</v>
      </c>
      <c r="G32" s="348">
        <f>E32/(1-F32)</f>
        <v>375</v>
      </c>
      <c r="H32" s="348">
        <f>65</f>
        <v>65</v>
      </c>
      <c r="I32" s="83">
        <v>0.15</v>
      </c>
      <c r="J32" s="79">
        <f>H32*(1+I32)</f>
        <v>74.75</v>
      </c>
      <c r="K32" s="349">
        <f>J32*D32</f>
        <v>2392</v>
      </c>
      <c r="L32" s="350">
        <f>G32+J32</f>
        <v>449.75</v>
      </c>
      <c r="M32" s="351">
        <f>D32*L32</f>
        <v>14392</v>
      </c>
      <c r="N32" s="258"/>
      <c r="O32" s="258"/>
    </row>
    <row r="33" spans="1:15" ht="14.15" customHeight="1" x14ac:dyDescent="0.3">
      <c r="A33" s="341" t="s">
        <v>111</v>
      </c>
      <c r="B33" s="443" t="s">
        <v>112</v>
      </c>
      <c r="C33" s="248" t="s">
        <v>108</v>
      </c>
      <c r="D33" s="1">
        <v>0</v>
      </c>
      <c r="E33" s="36">
        <f>190</f>
        <v>190</v>
      </c>
      <c r="F33" s="41">
        <v>0.2</v>
      </c>
      <c r="G33" s="348">
        <f>E33/(1-F33)</f>
        <v>237.5</v>
      </c>
      <c r="H33" s="348">
        <f>65</f>
        <v>65</v>
      </c>
      <c r="I33" s="83">
        <v>0.15</v>
      </c>
      <c r="J33" s="79">
        <f>H33*(1+I33)</f>
        <v>74.75</v>
      </c>
      <c r="K33" s="349">
        <f>J33*D33</f>
        <v>0</v>
      </c>
      <c r="L33" s="350">
        <f>G33+J33</f>
        <v>312.25</v>
      </c>
      <c r="M33" s="351">
        <f>D33*L33</f>
        <v>0</v>
      </c>
      <c r="N33" s="258"/>
      <c r="O33" s="258"/>
    </row>
    <row r="34" spans="1:15" ht="14.5" customHeight="1" thickBot="1" x14ac:dyDescent="0.35">
      <c r="A34" s="381"/>
      <c r="B34" s="447" t="s">
        <v>113</v>
      </c>
      <c r="C34" s="85" t="s">
        <v>108</v>
      </c>
      <c r="D34" s="50">
        <v>0</v>
      </c>
      <c r="E34" s="51">
        <f>110</f>
        <v>110</v>
      </c>
      <c r="F34" s="52">
        <v>0.2</v>
      </c>
      <c r="G34" s="376">
        <f>E34/(1-F34)</f>
        <v>137.5</v>
      </c>
      <c r="H34" s="376">
        <f>65</f>
        <v>65</v>
      </c>
      <c r="I34" s="83">
        <v>0.15</v>
      </c>
      <c r="J34" s="79">
        <f>H34*(1+I34)</f>
        <v>74.75</v>
      </c>
      <c r="K34" s="382">
        <f>J34*D34</f>
        <v>0</v>
      </c>
      <c r="L34" s="350">
        <f>G34+J34</f>
        <v>212.25</v>
      </c>
      <c r="M34" s="378">
        <f>D34*L34</f>
        <v>0</v>
      </c>
      <c r="N34" s="258"/>
      <c r="O34" s="258"/>
    </row>
    <row r="35" spans="1:15" ht="14.5" customHeight="1" thickBot="1" x14ac:dyDescent="0.35">
      <c r="A35" s="354"/>
      <c r="B35" s="441"/>
      <c r="C35" s="89"/>
      <c r="D35" s="72"/>
      <c r="E35" s="73"/>
      <c r="F35" s="74"/>
      <c r="G35" s="356"/>
      <c r="H35" s="356"/>
      <c r="I35" s="73"/>
      <c r="J35" s="73"/>
      <c r="K35" s="357"/>
      <c r="L35" s="358"/>
      <c r="M35" s="358"/>
      <c r="N35" s="258"/>
      <c r="O35" s="258"/>
    </row>
    <row r="36" spans="1:15" ht="14.15" customHeight="1" x14ac:dyDescent="0.3">
      <c r="A36" s="359">
        <v>2.7</v>
      </c>
      <c r="B36" s="360"/>
      <c r="C36" s="55"/>
      <c r="D36" s="58" t="s">
        <v>114</v>
      </c>
      <c r="E36" s="56"/>
      <c r="F36" s="57"/>
      <c r="G36" s="361"/>
      <c r="H36" s="361"/>
      <c r="I36" s="56"/>
      <c r="J36" s="56"/>
      <c r="K36" s="362"/>
      <c r="L36" s="363"/>
      <c r="M36" s="363"/>
      <c r="N36" s="258"/>
      <c r="O36" s="258"/>
    </row>
    <row r="37" spans="1:15" ht="28" customHeight="1" x14ac:dyDescent="0.3">
      <c r="A37" s="370" t="s">
        <v>115</v>
      </c>
      <c r="B37" s="444" t="s">
        <v>116</v>
      </c>
      <c r="C37" s="7" t="s">
        <v>90</v>
      </c>
      <c r="D37" s="7">
        <v>0</v>
      </c>
      <c r="E37" s="37">
        <f>13501.37*1.2</f>
        <v>16201.644</v>
      </c>
      <c r="F37" s="41">
        <v>0.2</v>
      </c>
      <c r="G37" s="348">
        <f>E37/(1-F37)</f>
        <v>20252.055</v>
      </c>
      <c r="H37" s="371">
        <f>250*2</f>
        <v>500</v>
      </c>
      <c r="I37" s="83">
        <v>0.15</v>
      </c>
      <c r="J37" s="79">
        <f>H37*(1+I37)</f>
        <v>575</v>
      </c>
      <c r="K37" s="349">
        <f>J37*D37</f>
        <v>0</v>
      </c>
      <c r="L37" s="350">
        <f>G37+J37</f>
        <v>20827.055</v>
      </c>
      <c r="M37" s="351">
        <f>D37*L37</f>
        <v>0</v>
      </c>
      <c r="N37" s="258"/>
      <c r="O37" s="258"/>
    </row>
    <row r="38" spans="1:15" ht="28.5" customHeight="1" thickBot="1" x14ac:dyDescent="0.35">
      <c r="A38" s="381" t="s">
        <v>117</v>
      </c>
      <c r="B38" s="446" t="s">
        <v>436</v>
      </c>
      <c r="C38" s="68" t="s">
        <v>90</v>
      </c>
      <c r="D38" s="68">
        <v>0</v>
      </c>
      <c r="E38" s="69">
        <v>2000</v>
      </c>
      <c r="F38" s="52">
        <v>0.2</v>
      </c>
      <c r="G38" s="376">
        <f>E38/(1-F38)</f>
        <v>2500</v>
      </c>
      <c r="H38" s="377">
        <f>250*2</f>
        <v>500</v>
      </c>
      <c r="I38" s="83">
        <v>0.15</v>
      </c>
      <c r="J38" s="79">
        <f>H38*(1+I38)</f>
        <v>575</v>
      </c>
      <c r="K38" s="382">
        <f>J38*D38</f>
        <v>0</v>
      </c>
      <c r="L38" s="350">
        <f>G38+J38</f>
        <v>3075</v>
      </c>
      <c r="M38" s="378">
        <f>D38*L38</f>
        <v>0</v>
      </c>
      <c r="N38" s="258"/>
      <c r="O38" s="258"/>
    </row>
    <row r="39" spans="1:15" ht="14.5" customHeight="1" thickBot="1" x14ac:dyDescent="0.35">
      <c r="A39" s="354"/>
      <c r="B39" s="441"/>
      <c r="C39" s="89"/>
      <c r="D39" s="72"/>
      <c r="E39" s="73"/>
      <c r="F39" s="74"/>
      <c r="G39" s="356"/>
      <c r="H39" s="356"/>
      <c r="I39" s="73"/>
      <c r="J39" s="73"/>
      <c r="K39" s="357"/>
      <c r="L39" s="358"/>
      <c r="M39" s="358"/>
      <c r="N39" s="258"/>
      <c r="O39" s="258"/>
    </row>
    <row r="40" spans="1:15" ht="16.5" customHeight="1" x14ac:dyDescent="0.3">
      <c r="A40" s="359">
        <v>2.8</v>
      </c>
      <c r="B40" s="360"/>
      <c r="C40" s="55"/>
      <c r="D40" s="58" t="s">
        <v>119</v>
      </c>
      <c r="E40" s="56"/>
      <c r="F40" s="57"/>
      <c r="G40" s="361"/>
      <c r="H40" s="361"/>
      <c r="I40" s="56"/>
      <c r="J40" s="56"/>
      <c r="K40" s="362"/>
      <c r="L40" s="363"/>
      <c r="M40" s="363"/>
      <c r="N40" s="258"/>
      <c r="O40" s="258"/>
    </row>
    <row r="41" spans="1:15" ht="16.5" customHeight="1" x14ac:dyDescent="0.3">
      <c r="A41" s="384"/>
      <c r="B41" s="342"/>
      <c r="C41" s="248"/>
      <c r="D41" s="1"/>
      <c r="E41" s="36"/>
      <c r="F41" s="41"/>
      <c r="G41" s="348"/>
      <c r="H41" s="348"/>
      <c r="I41" s="83"/>
      <c r="J41" s="79"/>
      <c r="K41" s="349"/>
      <c r="L41" s="350"/>
      <c r="M41" s="351"/>
      <c r="N41" s="258"/>
      <c r="O41" s="258"/>
    </row>
    <row r="42" spans="1:15" ht="14.15" customHeight="1" x14ac:dyDescent="0.3">
      <c r="A42" s="341" t="s">
        <v>120</v>
      </c>
      <c r="B42" s="385" t="s">
        <v>121</v>
      </c>
      <c r="C42" s="248" t="s">
        <v>85</v>
      </c>
      <c r="D42" s="1">
        <v>0</v>
      </c>
      <c r="E42" s="36">
        <v>2500</v>
      </c>
      <c r="F42" s="41">
        <v>0.2</v>
      </c>
      <c r="G42" s="348">
        <f>E42/(1-F42)</f>
        <v>3125</v>
      </c>
      <c r="H42" s="348">
        <f>(250+100)*4</f>
        <v>1400</v>
      </c>
      <c r="I42" s="83">
        <v>0.15</v>
      </c>
      <c r="J42" s="79">
        <f>H42*(1+I42)</f>
        <v>1609.9999999999998</v>
      </c>
      <c r="K42" s="349">
        <f>J42*D42</f>
        <v>0</v>
      </c>
      <c r="L42" s="350">
        <f>G42+J42</f>
        <v>4735</v>
      </c>
      <c r="M42" s="351">
        <f>D42*L42</f>
        <v>0</v>
      </c>
      <c r="N42" s="258"/>
      <c r="O42" s="258"/>
    </row>
    <row r="43" spans="1:15" ht="14.15" customHeight="1" x14ac:dyDescent="0.3">
      <c r="A43" s="341"/>
      <c r="B43" s="448"/>
      <c r="C43" s="88"/>
      <c r="D43" s="1"/>
      <c r="E43" s="36"/>
      <c r="F43" s="41"/>
      <c r="G43" s="348"/>
      <c r="H43" s="348"/>
      <c r="I43" s="79"/>
      <c r="J43" s="79"/>
      <c r="K43" s="349"/>
      <c r="L43" s="350"/>
      <c r="M43" s="351"/>
      <c r="N43" s="258"/>
      <c r="O43" s="258"/>
    </row>
    <row r="44" spans="1:15" ht="14.15" customHeight="1" x14ac:dyDescent="0.3">
      <c r="A44" s="341" t="s">
        <v>122</v>
      </c>
      <c r="B44" s="385" t="s">
        <v>123</v>
      </c>
      <c r="C44" s="248" t="s">
        <v>85</v>
      </c>
      <c r="D44" s="1">
        <f>9 + N(" 3 AC in breakers and 1 Isolator on each inverter in and out")</f>
        <v>9</v>
      </c>
      <c r="E44" s="36">
        <v>1800</v>
      </c>
      <c r="F44" s="41">
        <v>0.2</v>
      </c>
      <c r="G44" s="348">
        <f>E44/(1-F44)</f>
        <v>2250</v>
      </c>
      <c r="H44" s="348">
        <f>(250+100)*4</f>
        <v>1400</v>
      </c>
      <c r="I44" s="83">
        <v>0.15</v>
      </c>
      <c r="J44" s="79">
        <f>H44*(1+I44)</f>
        <v>1609.9999999999998</v>
      </c>
      <c r="K44" s="349">
        <f>J44*D44</f>
        <v>14489.999999999998</v>
      </c>
      <c r="L44" s="350">
        <f>G44+J44</f>
        <v>3860</v>
      </c>
      <c r="M44" s="351">
        <f>D44*L44</f>
        <v>34740</v>
      </c>
      <c r="N44" s="258"/>
      <c r="O44" s="258"/>
    </row>
    <row r="45" spans="1:15" ht="14.15" customHeight="1" x14ac:dyDescent="0.3">
      <c r="A45" s="341"/>
      <c r="B45" s="385"/>
      <c r="C45" s="248"/>
      <c r="D45" s="1"/>
      <c r="E45" s="36"/>
      <c r="F45" s="41"/>
      <c r="G45" s="348"/>
      <c r="H45" s="348"/>
      <c r="I45" s="79"/>
      <c r="J45" s="79"/>
      <c r="K45" s="349"/>
      <c r="L45" s="350"/>
      <c r="M45" s="351"/>
      <c r="N45" s="258"/>
      <c r="O45" s="258"/>
    </row>
    <row r="46" spans="1:15" ht="14.15" customHeight="1" x14ac:dyDescent="0.3">
      <c r="A46" s="341" t="s">
        <v>124</v>
      </c>
      <c r="B46" s="385" t="s">
        <v>125</v>
      </c>
      <c r="C46" s="248" t="s">
        <v>85</v>
      </c>
      <c r="D46" s="1">
        <v>6</v>
      </c>
      <c r="E46" s="36">
        <f>550*1.2</f>
        <v>660</v>
      </c>
      <c r="F46" s="41">
        <v>0.2</v>
      </c>
      <c r="G46" s="348">
        <f>E46/(1-F46)</f>
        <v>825</v>
      </c>
      <c r="H46" s="348">
        <f>(250+100)*4</f>
        <v>1400</v>
      </c>
      <c r="I46" s="83">
        <v>0.15</v>
      </c>
      <c r="J46" s="79">
        <f>H46*(1+I46)</f>
        <v>1609.9999999999998</v>
      </c>
      <c r="K46" s="349">
        <f>J46*D46</f>
        <v>9659.9999999999982</v>
      </c>
      <c r="L46" s="350">
        <f>G46+J46</f>
        <v>2435</v>
      </c>
      <c r="M46" s="351">
        <f>D46*L46</f>
        <v>14610</v>
      </c>
      <c r="N46" s="258"/>
      <c r="O46" s="258"/>
    </row>
    <row r="47" spans="1:15" ht="14.15" customHeight="1" x14ac:dyDescent="0.3">
      <c r="A47" s="341"/>
      <c r="B47" s="387"/>
      <c r="C47" s="88"/>
      <c r="D47" s="1"/>
      <c r="E47" s="36"/>
      <c r="F47" s="41"/>
      <c r="G47" s="348"/>
      <c r="H47" s="348"/>
      <c r="I47" s="79"/>
      <c r="J47" s="79"/>
      <c r="K47" s="349"/>
      <c r="L47" s="350"/>
      <c r="M47" s="351"/>
      <c r="N47" s="258"/>
      <c r="O47" s="258"/>
    </row>
    <row r="48" spans="1:15" ht="14.5" customHeight="1" thickBot="1" x14ac:dyDescent="0.35">
      <c r="A48" s="381" t="s">
        <v>126</v>
      </c>
      <c r="B48" s="388" t="s">
        <v>127</v>
      </c>
      <c r="C48" s="85" t="s">
        <v>85</v>
      </c>
      <c r="D48" s="50">
        <f>6 + N("Putting this here for some reason")</f>
        <v>6</v>
      </c>
      <c r="E48" s="51">
        <f>550*1.2</f>
        <v>660</v>
      </c>
      <c r="F48" s="52">
        <v>0.2</v>
      </c>
      <c r="G48" s="376">
        <f>E48/(1-F48)</f>
        <v>825</v>
      </c>
      <c r="H48" s="376">
        <f>(250+100)*4</f>
        <v>1400</v>
      </c>
      <c r="I48" s="83">
        <v>0.15</v>
      </c>
      <c r="J48" s="79">
        <f>H48*(1+I48)</f>
        <v>1609.9999999999998</v>
      </c>
      <c r="K48" s="349">
        <f>J48*D48</f>
        <v>9659.9999999999982</v>
      </c>
      <c r="L48" s="350">
        <f>G48+J48</f>
        <v>2435</v>
      </c>
      <c r="M48" s="378">
        <f>D48*L48</f>
        <v>14610</v>
      </c>
      <c r="N48" s="258"/>
      <c r="O48" s="258"/>
    </row>
    <row r="49" spans="1:15" ht="14.5" customHeight="1" thickBot="1" x14ac:dyDescent="0.35">
      <c r="A49" s="354"/>
      <c r="B49" s="441"/>
      <c r="C49" s="89"/>
      <c r="D49" s="72"/>
      <c r="E49" s="73"/>
      <c r="F49" s="74"/>
      <c r="G49" s="356"/>
      <c r="H49" s="356"/>
      <c r="I49" s="73"/>
      <c r="J49" s="73"/>
      <c r="K49" s="357"/>
      <c r="L49" s="358"/>
      <c r="M49" s="358"/>
      <c r="N49" s="258"/>
      <c r="O49" s="258"/>
    </row>
    <row r="50" spans="1:15" ht="16.5" customHeight="1" x14ac:dyDescent="0.3">
      <c r="A50" s="359">
        <v>2.9</v>
      </c>
      <c r="B50" s="367"/>
      <c r="C50" s="55"/>
      <c r="D50" s="58" t="s">
        <v>128</v>
      </c>
      <c r="E50" s="56"/>
      <c r="F50" s="57"/>
      <c r="G50" s="361"/>
      <c r="H50" s="361"/>
      <c r="I50" s="56"/>
      <c r="J50" s="56"/>
      <c r="K50" s="362"/>
      <c r="L50" s="363"/>
      <c r="M50" s="363"/>
      <c r="N50" s="258"/>
      <c r="O50" s="258"/>
    </row>
    <row r="51" spans="1:15" ht="16.5" customHeight="1" x14ac:dyDescent="0.3">
      <c r="A51" s="341"/>
      <c r="B51" s="342"/>
      <c r="C51" s="248"/>
      <c r="D51" s="1"/>
      <c r="E51" s="36"/>
      <c r="F51" s="41"/>
      <c r="G51" s="348"/>
      <c r="H51" s="348"/>
      <c r="I51" s="79"/>
      <c r="J51" s="79"/>
      <c r="K51" s="349"/>
      <c r="L51" s="350"/>
      <c r="M51" s="351"/>
      <c r="N51" s="258"/>
      <c r="O51" s="258"/>
    </row>
    <row r="52" spans="1:15" ht="14.15" customHeight="1" x14ac:dyDescent="0.3">
      <c r="A52" s="341" t="s">
        <v>129</v>
      </c>
      <c r="B52" s="385" t="s">
        <v>130</v>
      </c>
      <c r="C52" s="248" t="s">
        <v>85</v>
      </c>
      <c r="D52" s="1">
        <v>0</v>
      </c>
      <c r="E52" s="36">
        <v>2500</v>
      </c>
      <c r="F52" s="41">
        <v>0.2</v>
      </c>
      <c r="G52" s="348">
        <f>E52/(1-F52)</f>
        <v>3125</v>
      </c>
      <c r="H52" s="348">
        <f>250*1</f>
        <v>250</v>
      </c>
      <c r="I52" s="83">
        <v>0.15</v>
      </c>
      <c r="J52" s="79">
        <f>H52*(1+I52)</f>
        <v>287.5</v>
      </c>
      <c r="K52" s="349">
        <f>J52*D52</f>
        <v>0</v>
      </c>
      <c r="L52" s="350">
        <f>G52+J52</f>
        <v>3412.5</v>
      </c>
      <c r="M52" s="351">
        <f>D52*L52</f>
        <v>0</v>
      </c>
      <c r="N52" s="258"/>
      <c r="O52" s="258"/>
    </row>
    <row r="53" spans="1:15" ht="14.15" customHeight="1" x14ac:dyDescent="0.3">
      <c r="A53" s="341"/>
      <c r="B53" s="385"/>
      <c r="C53" s="248"/>
      <c r="D53" s="1"/>
      <c r="E53" s="36"/>
      <c r="F53" s="41"/>
      <c r="G53" s="348"/>
      <c r="H53" s="348"/>
      <c r="I53" s="79"/>
      <c r="J53" s="79"/>
      <c r="K53" s="349"/>
      <c r="L53" s="350"/>
      <c r="M53" s="351"/>
      <c r="N53" s="258"/>
      <c r="O53" s="258"/>
    </row>
    <row r="54" spans="1:15" ht="14.15" customHeight="1" x14ac:dyDescent="0.3">
      <c r="A54" s="341" t="s">
        <v>131</v>
      </c>
      <c r="B54" s="385" t="s">
        <v>132</v>
      </c>
      <c r="C54" s="248" t="s">
        <v>85</v>
      </c>
      <c r="D54" s="1">
        <v>6</v>
      </c>
      <c r="E54" s="36">
        <v>5729</v>
      </c>
      <c r="F54" s="41">
        <v>0.2</v>
      </c>
      <c r="G54" s="348">
        <f>E54/(1-F54)</f>
        <v>7161.25</v>
      </c>
      <c r="H54" s="348">
        <v>250</v>
      </c>
      <c r="I54" s="83">
        <v>0.15</v>
      </c>
      <c r="J54" s="79">
        <f>H54*(1+I54)</f>
        <v>287.5</v>
      </c>
      <c r="K54" s="349">
        <f>J54*D54</f>
        <v>1725</v>
      </c>
      <c r="L54" s="350">
        <f>G54+J54</f>
        <v>7448.75</v>
      </c>
      <c r="M54" s="351">
        <f>D54*L54</f>
        <v>44692.5</v>
      </c>
      <c r="N54" s="258"/>
      <c r="O54" s="258"/>
    </row>
    <row r="55" spans="1:15" ht="14.15" customHeight="1" x14ac:dyDescent="0.3">
      <c r="A55" s="341"/>
      <c r="B55" s="387"/>
      <c r="C55" s="88"/>
      <c r="D55" s="1"/>
      <c r="E55" s="36"/>
      <c r="F55" s="41"/>
      <c r="G55" s="348"/>
      <c r="H55" s="348"/>
      <c r="I55" s="79"/>
      <c r="J55" s="79"/>
      <c r="K55" s="349"/>
      <c r="L55" s="350"/>
      <c r="M55" s="351"/>
      <c r="N55" s="258"/>
      <c r="O55" s="258"/>
    </row>
    <row r="56" spans="1:15" ht="14.15" customHeight="1" x14ac:dyDescent="0.3">
      <c r="A56" s="341" t="s">
        <v>133</v>
      </c>
      <c r="B56" s="387" t="s">
        <v>134</v>
      </c>
      <c r="C56" s="248" t="s">
        <v>85</v>
      </c>
      <c r="D56" s="1">
        <v>6</v>
      </c>
      <c r="E56" s="36">
        <f>5729</f>
        <v>5729</v>
      </c>
      <c r="F56" s="41">
        <v>0.2</v>
      </c>
      <c r="G56" s="348">
        <f>E56/(1-F56)</f>
        <v>7161.25</v>
      </c>
      <c r="H56" s="348">
        <v>250</v>
      </c>
      <c r="I56" s="83">
        <v>0.15</v>
      </c>
      <c r="J56" s="79">
        <f>H56*(1+I56)</f>
        <v>287.5</v>
      </c>
      <c r="K56" s="349">
        <f>J56*D56</f>
        <v>1725</v>
      </c>
      <c r="L56" s="350">
        <f>G56+J56</f>
        <v>7448.75</v>
      </c>
      <c r="M56" s="351">
        <f>D56*L56</f>
        <v>44692.5</v>
      </c>
      <c r="N56" s="258"/>
      <c r="O56" s="258"/>
    </row>
    <row r="57" spans="1:15" ht="14.15" customHeight="1" x14ac:dyDescent="0.3">
      <c r="A57" s="341"/>
      <c r="B57" s="387"/>
      <c r="C57" s="248"/>
      <c r="D57" s="1"/>
      <c r="E57" s="36"/>
      <c r="F57" s="41"/>
      <c r="G57" s="348"/>
      <c r="H57" s="348"/>
      <c r="I57" s="83"/>
      <c r="J57" s="79"/>
      <c r="K57" s="349"/>
      <c r="L57" s="350"/>
      <c r="M57" s="351"/>
      <c r="N57" s="258"/>
      <c r="O57" s="258"/>
    </row>
    <row r="58" spans="1:15" ht="14.15" customHeight="1" x14ac:dyDescent="0.3">
      <c r="A58" s="341"/>
      <c r="B58" s="385" t="s">
        <v>425</v>
      </c>
      <c r="C58" s="248" t="s">
        <v>85</v>
      </c>
      <c r="D58" s="1">
        <v>3</v>
      </c>
      <c r="E58" s="36">
        <f>40000*1.2</f>
        <v>48000</v>
      </c>
      <c r="F58" s="41">
        <v>0.2</v>
      </c>
      <c r="G58" s="348">
        <f>E58/(1-F58)</f>
        <v>60000</v>
      </c>
      <c r="H58" s="348">
        <v>250</v>
      </c>
      <c r="I58" s="83">
        <v>0.15</v>
      </c>
      <c r="J58" s="79">
        <f>H58*(1+I58)</f>
        <v>287.5</v>
      </c>
      <c r="K58" s="349">
        <f>J58*D58</f>
        <v>862.5</v>
      </c>
      <c r="L58" s="350">
        <f>G58+J58</f>
        <v>60287.5</v>
      </c>
      <c r="M58" s="351">
        <f>D58*L58</f>
        <v>180862.5</v>
      </c>
      <c r="N58" s="258"/>
      <c r="O58" s="258"/>
    </row>
    <row r="59" spans="1:15" ht="14.15" customHeight="1" x14ac:dyDescent="0.3">
      <c r="A59" s="341"/>
      <c r="B59" s="387"/>
      <c r="C59" s="87"/>
      <c r="D59" s="1"/>
      <c r="E59" s="36"/>
      <c r="F59" s="41"/>
      <c r="G59" s="348"/>
      <c r="H59" s="348"/>
      <c r="I59" s="79"/>
      <c r="J59" s="79"/>
      <c r="K59" s="349"/>
      <c r="L59" s="350"/>
      <c r="M59" s="351"/>
      <c r="N59" s="258"/>
      <c r="O59" s="258"/>
    </row>
    <row r="60" spans="1:15" ht="14.15" customHeight="1" x14ac:dyDescent="0.3">
      <c r="A60" s="341"/>
      <c r="B60" s="385" t="s">
        <v>426</v>
      </c>
      <c r="C60" s="87" t="s">
        <v>427</v>
      </c>
      <c r="D60" s="1">
        <v>0</v>
      </c>
      <c r="E60" s="36">
        <v>50000</v>
      </c>
      <c r="F60" s="41">
        <v>0.2</v>
      </c>
      <c r="G60" s="348">
        <f>E60/(1-F60)</f>
        <v>62500</v>
      </c>
      <c r="H60" s="348">
        <v>250</v>
      </c>
      <c r="I60" s="83">
        <v>0.15</v>
      </c>
      <c r="J60" s="79">
        <f>H60*(1+I60)</f>
        <v>287.5</v>
      </c>
      <c r="K60" s="349">
        <f>J60*D60</f>
        <v>0</v>
      </c>
      <c r="L60" s="350">
        <f>G60+J60</f>
        <v>62787.5</v>
      </c>
      <c r="M60" s="351">
        <f>D60*L60</f>
        <v>0</v>
      </c>
      <c r="N60" s="258"/>
      <c r="O60" s="258"/>
    </row>
    <row r="61" spans="1:15" ht="14.15" customHeight="1" x14ac:dyDescent="0.3">
      <c r="A61" s="341"/>
      <c r="B61" s="387"/>
      <c r="C61" s="87"/>
      <c r="D61" s="1"/>
      <c r="E61" s="36"/>
      <c r="F61" s="41"/>
      <c r="G61" s="348"/>
      <c r="H61" s="348"/>
      <c r="I61" s="79"/>
      <c r="J61" s="79"/>
      <c r="K61" s="349"/>
      <c r="L61" s="350"/>
      <c r="M61" s="351"/>
      <c r="N61" s="258"/>
      <c r="O61" s="258"/>
    </row>
    <row r="62" spans="1:15" ht="28" customHeight="1" x14ac:dyDescent="0.3">
      <c r="A62" s="341" t="s">
        <v>135</v>
      </c>
      <c r="B62" s="385" t="s">
        <v>136</v>
      </c>
      <c r="C62" s="248" t="s">
        <v>85</v>
      </c>
      <c r="D62" s="1">
        <v>3</v>
      </c>
      <c r="E62" s="36">
        <v>350</v>
      </c>
      <c r="F62" s="41">
        <v>0.2</v>
      </c>
      <c r="G62" s="348">
        <f>E62/(1-F62)</f>
        <v>437.5</v>
      </c>
      <c r="H62" s="348">
        <v>250</v>
      </c>
      <c r="I62" s="83">
        <v>0.15</v>
      </c>
      <c r="J62" s="79">
        <f>H62*(1+I62)</f>
        <v>287.5</v>
      </c>
      <c r="K62" s="349">
        <f>J62*D62</f>
        <v>862.5</v>
      </c>
      <c r="L62" s="350">
        <f>G62+J62</f>
        <v>725</v>
      </c>
      <c r="M62" s="351">
        <f>D62*L62</f>
        <v>2175</v>
      </c>
      <c r="N62" s="258"/>
      <c r="O62" s="258"/>
    </row>
    <row r="63" spans="1:15" ht="14.15" customHeight="1" x14ac:dyDescent="0.3">
      <c r="A63" s="341"/>
      <c r="B63" s="387"/>
      <c r="C63" s="88"/>
      <c r="D63" s="1"/>
      <c r="E63" s="36"/>
      <c r="F63" s="41"/>
      <c r="G63" s="348"/>
      <c r="H63" s="348"/>
      <c r="I63" s="79"/>
      <c r="J63" s="79"/>
      <c r="K63" s="349"/>
      <c r="L63" s="350"/>
      <c r="M63" s="351"/>
      <c r="N63" s="258"/>
      <c r="O63" s="258"/>
    </row>
    <row r="64" spans="1:15" ht="14.15" customHeight="1" x14ac:dyDescent="0.3">
      <c r="A64" s="341" t="s">
        <v>137</v>
      </c>
      <c r="B64" s="385" t="s">
        <v>138</v>
      </c>
      <c r="C64" s="248" t="s">
        <v>108</v>
      </c>
      <c r="D64" s="1">
        <v>20</v>
      </c>
      <c r="E64" s="36">
        <f>35</f>
        <v>35</v>
      </c>
      <c r="F64" s="41">
        <v>0.2</v>
      </c>
      <c r="G64" s="348">
        <f>E64/(1-F64)</f>
        <v>43.75</v>
      </c>
      <c r="H64" s="348">
        <f>(65*3)</f>
        <v>195</v>
      </c>
      <c r="I64" s="83">
        <v>0.15</v>
      </c>
      <c r="J64" s="79">
        <f>H64*(1+I64)</f>
        <v>224.24999999999997</v>
      </c>
      <c r="K64" s="349">
        <f>J64*D64</f>
        <v>4484.9999999999991</v>
      </c>
      <c r="L64" s="350">
        <f>G64+J64</f>
        <v>268</v>
      </c>
      <c r="M64" s="351">
        <f>D64*L64</f>
        <v>5360</v>
      </c>
      <c r="N64" s="258"/>
      <c r="O64" s="258"/>
    </row>
    <row r="65" spans="1:15" ht="14.15" customHeight="1" x14ac:dyDescent="0.3">
      <c r="A65" s="341"/>
      <c r="B65" s="387"/>
      <c r="C65" s="87"/>
      <c r="D65" s="1"/>
      <c r="E65" s="36"/>
      <c r="F65" s="41"/>
      <c r="G65" s="348"/>
      <c r="H65" s="348"/>
      <c r="I65" s="79"/>
      <c r="J65" s="79"/>
      <c r="K65" s="349"/>
      <c r="L65" s="350"/>
      <c r="M65" s="351"/>
      <c r="N65" s="258"/>
      <c r="O65" s="258"/>
    </row>
    <row r="66" spans="1:15" ht="14.5" customHeight="1" thickBot="1" x14ac:dyDescent="0.35">
      <c r="A66" s="341" t="s">
        <v>139</v>
      </c>
      <c r="B66" s="385" t="s">
        <v>140</v>
      </c>
      <c r="C66" s="248" t="s">
        <v>42</v>
      </c>
      <c r="D66" s="1">
        <v>1</v>
      </c>
      <c r="E66" s="36">
        <v>1</v>
      </c>
      <c r="F66" s="41">
        <v>0.2</v>
      </c>
      <c r="G66" s="348">
        <f>E66/(1-F66)</f>
        <v>1.25</v>
      </c>
      <c r="H66" s="348">
        <f>2500*3</f>
        <v>7500</v>
      </c>
      <c r="I66" s="83">
        <v>0.15</v>
      </c>
      <c r="J66" s="79">
        <f>H66*(1+I66)</f>
        <v>8625</v>
      </c>
      <c r="K66" s="349">
        <f>J66*D66</f>
        <v>8625</v>
      </c>
      <c r="L66" s="350">
        <f>G66+J66</f>
        <v>8626.25</v>
      </c>
      <c r="M66" s="351">
        <f>D66*L66</f>
        <v>8626.25</v>
      </c>
      <c r="N66" s="258"/>
      <c r="O66" s="258"/>
    </row>
    <row r="67" spans="1:15" ht="14.5" customHeight="1" thickBot="1" x14ac:dyDescent="0.35">
      <c r="A67" s="354"/>
      <c r="B67" s="441"/>
      <c r="C67" s="89"/>
      <c r="D67" s="72"/>
      <c r="E67" s="73"/>
      <c r="F67" s="74"/>
      <c r="G67" s="356"/>
      <c r="H67" s="356"/>
      <c r="I67" s="73"/>
      <c r="J67" s="73"/>
      <c r="K67" s="357"/>
      <c r="L67" s="358"/>
      <c r="M67" s="358"/>
      <c r="N67" s="258"/>
      <c r="O67" s="258"/>
    </row>
    <row r="68" spans="1:15" ht="14.15" customHeight="1" x14ac:dyDescent="0.3">
      <c r="A68" s="389">
        <v>2.1</v>
      </c>
      <c r="B68" s="390"/>
      <c r="C68" s="90"/>
      <c r="D68" s="65" t="s">
        <v>141</v>
      </c>
      <c r="E68" s="53"/>
      <c r="F68" s="54"/>
      <c r="G68" s="391"/>
      <c r="H68" s="391"/>
      <c r="I68" s="53"/>
      <c r="J68" s="53"/>
      <c r="K68" s="392"/>
      <c r="L68" s="393"/>
      <c r="M68" s="393"/>
      <c r="N68" s="258"/>
      <c r="O68" s="258"/>
    </row>
    <row r="69" spans="1:15" ht="28" customHeight="1" x14ac:dyDescent="0.3">
      <c r="A69" s="370" t="s">
        <v>142</v>
      </c>
      <c r="B69" s="444" t="s">
        <v>143</v>
      </c>
      <c r="C69" s="7" t="s">
        <v>85</v>
      </c>
      <c r="D69" s="7">
        <v>5</v>
      </c>
      <c r="E69" s="37">
        <v>10000</v>
      </c>
      <c r="F69" s="41">
        <v>0.16</v>
      </c>
      <c r="G69" s="348">
        <f>E69/(1-F69)</f>
        <v>11904.761904761905</v>
      </c>
      <c r="H69" s="371">
        <v>200</v>
      </c>
      <c r="I69" s="83">
        <v>0.15</v>
      </c>
      <c r="J69" s="79">
        <f>H69*(1+I69)</f>
        <v>229.99999999999997</v>
      </c>
      <c r="K69" s="349">
        <f>J69*D69</f>
        <v>1149.9999999999998</v>
      </c>
      <c r="L69" s="350">
        <f>G69+J69</f>
        <v>12134.761904761905</v>
      </c>
      <c r="M69" s="351">
        <f>D69*L69</f>
        <v>60673.809523809527</v>
      </c>
      <c r="N69" s="258"/>
      <c r="O69" s="258"/>
    </row>
    <row r="70" spans="1:15" ht="14.15" customHeight="1" x14ac:dyDescent="0.3">
      <c r="A70" s="394"/>
      <c r="B70" s="395"/>
      <c r="C70" s="248"/>
      <c r="D70" s="248"/>
      <c r="E70" s="36"/>
      <c r="F70" s="41"/>
      <c r="G70" s="348"/>
      <c r="H70" s="348"/>
      <c r="I70" s="79"/>
      <c r="J70" s="79"/>
      <c r="K70" s="349"/>
      <c r="L70" s="350"/>
      <c r="M70" s="351"/>
      <c r="N70" s="258"/>
      <c r="O70" s="258"/>
    </row>
    <row r="71" spans="1:15" ht="28.5" customHeight="1" thickBot="1" x14ac:dyDescent="0.35">
      <c r="A71" s="396" t="s">
        <v>144</v>
      </c>
      <c r="B71" s="446" t="s">
        <v>145</v>
      </c>
      <c r="C71" s="68" t="s">
        <v>85</v>
      </c>
      <c r="D71" s="68">
        <v>5</v>
      </c>
      <c r="E71" s="69">
        <v>7500</v>
      </c>
      <c r="F71" s="52">
        <v>0.16</v>
      </c>
      <c r="G71" s="376">
        <f>E71/(1-F71)</f>
        <v>8928.5714285714294</v>
      </c>
      <c r="H71" s="377">
        <v>200</v>
      </c>
      <c r="I71" s="83">
        <v>0.15</v>
      </c>
      <c r="J71" s="79">
        <f>H71*(1+I71)</f>
        <v>229.99999999999997</v>
      </c>
      <c r="K71" s="382">
        <f>J71*D71</f>
        <v>1149.9999999999998</v>
      </c>
      <c r="L71" s="350">
        <f>G71+J71</f>
        <v>9158.5714285714294</v>
      </c>
      <c r="M71" s="378">
        <f>D71*L71</f>
        <v>45792.857142857145</v>
      </c>
      <c r="N71" s="258"/>
      <c r="O71" s="258"/>
    </row>
    <row r="72" spans="1:15" ht="14.5" customHeight="1" thickBot="1" x14ac:dyDescent="0.35">
      <c r="A72" s="397"/>
      <c r="B72" s="449"/>
      <c r="C72" s="89"/>
      <c r="D72" s="72"/>
      <c r="E72" s="73"/>
      <c r="F72" s="74"/>
      <c r="G72" s="356"/>
      <c r="H72" s="356"/>
      <c r="I72" s="73"/>
      <c r="J72" s="73"/>
      <c r="K72" s="357"/>
      <c r="L72" s="358"/>
      <c r="M72" s="358"/>
      <c r="N72" s="258"/>
      <c r="O72" s="258"/>
    </row>
    <row r="73" spans="1:15" ht="14.15" customHeight="1" x14ac:dyDescent="0.3">
      <c r="A73" s="359">
        <v>2.11</v>
      </c>
      <c r="B73" s="450"/>
      <c r="C73" s="91"/>
      <c r="D73" s="58" t="s">
        <v>146</v>
      </c>
      <c r="E73" s="56"/>
      <c r="F73" s="57"/>
      <c r="G73" s="361"/>
      <c r="H73" s="361"/>
      <c r="I73" s="56"/>
      <c r="J73" s="56"/>
      <c r="K73" s="362"/>
      <c r="L73" s="363"/>
      <c r="M73" s="363"/>
      <c r="N73" s="258"/>
      <c r="O73" s="258"/>
    </row>
    <row r="74" spans="1:15" ht="14.15" customHeight="1" x14ac:dyDescent="0.3">
      <c r="A74" s="341"/>
      <c r="B74" s="444"/>
      <c r="C74" s="92"/>
      <c r="D74" s="1"/>
      <c r="E74" s="36"/>
      <c r="F74" s="41"/>
      <c r="G74" s="348"/>
      <c r="H74" s="348"/>
      <c r="I74" s="79"/>
      <c r="J74" s="79"/>
      <c r="K74" s="349"/>
      <c r="L74" s="350"/>
      <c r="M74" s="351"/>
      <c r="N74" s="258"/>
      <c r="O74" s="258"/>
    </row>
    <row r="75" spans="1:15" ht="14.15" customHeight="1" x14ac:dyDescent="0.3">
      <c r="A75" s="341"/>
      <c r="B75" s="443" t="s">
        <v>147</v>
      </c>
      <c r="C75" s="88"/>
      <c r="D75" s="1"/>
      <c r="E75" s="36"/>
      <c r="F75" s="41"/>
      <c r="G75" s="348"/>
      <c r="H75" s="348"/>
      <c r="I75" s="79"/>
      <c r="J75" s="79"/>
      <c r="K75" s="349"/>
      <c r="L75" s="350"/>
      <c r="M75" s="351"/>
      <c r="N75" s="258"/>
      <c r="O75" s="258"/>
    </row>
    <row r="76" spans="1:15" ht="14.15" customHeight="1" x14ac:dyDescent="0.3">
      <c r="A76" s="341"/>
      <c r="B76" s="448"/>
      <c r="C76" s="88"/>
      <c r="D76" s="1"/>
      <c r="E76" s="36"/>
      <c r="F76" s="41"/>
      <c r="G76" s="348"/>
      <c r="H76" s="348"/>
      <c r="I76" s="79"/>
      <c r="J76" s="79"/>
      <c r="K76" s="349"/>
      <c r="L76" s="350"/>
      <c r="M76" s="351"/>
      <c r="N76" s="258"/>
      <c r="O76" s="258"/>
    </row>
    <row r="77" spans="1:15" ht="42" customHeight="1" x14ac:dyDescent="0.3">
      <c r="A77" s="341"/>
      <c r="B77" s="448" t="s">
        <v>148</v>
      </c>
      <c r="C77" s="88"/>
      <c r="D77" s="248"/>
      <c r="E77" s="36"/>
      <c r="F77" s="41"/>
      <c r="G77" s="348"/>
      <c r="H77" s="348"/>
      <c r="I77" s="79"/>
      <c r="J77" s="79"/>
      <c r="K77" s="349"/>
      <c r="L77" s="350"/>
      <c r="M77" s="351"/>
      <c r="N77" s="258"/>
      <c r="O77" s="258"/>
    </row>
    <row r="78" spans="1:15" ht="14.15" customHeight="1" x14ac:dyDescent="0.3">
      <c r="A78" s="384"/>
      <c r="B78" s="443"/>
      <c r="C78" s="88"/>
      <c r="D78" s="1"/>
      <c r="E78" s="36"/>
      <c r="F78" s="41"/>
      <c r="G78" s="348"/>
      <c r="H78" s="400"/>
      <c r="I78" s="81"/>
      <c r="J78" s="81"/>
      <c r="K78" s="349"/>
      <c r="L78" s="350"/>
      <c r="M78" s="351"/>
      <c r="N78" s="258"/>
      <c r="O78" s="258"/>
    </row>
    <row r="79" spans="1:15" ht="14.15" customHeight="1" x14ac:dyDescent="0.3">
      <c r="A79" s="384"/>
      <c r="B79" s="443" t="s">
        <v>282</v>
      </c>
      <c r="C79" s="88" t="s">
        <v>108</v>
      </c>
      <c r="D79" s="1">
        <v>0</v>
      </c>
      <c r="E79" s="36">
        <v>1520</v>
      </c>
      <c r="F79" s="41">
        <v>0.25</v>
      </c>
      <c r="G79" s="348">
        <f t="shared" ref="G79:G85" si="0">E79/(1-F79)</f>
        <v>2026.6666666666667</v>
      </c>
      <c r="H79" s="348">
        <v>25</v>
      </c>
      <c r="I79" s="83">
        <v>0.15</v>
      </c>
      <c r="J79" s="79">
        <f t="shared" ref="J79:J85" si="1">H79*(1+I79)</f>
        <v>28.749999999999996</v>
      </c>
      <c r="K79" s="349">
        <f t="shared" ref="K79:K85" si="2">J79*D79</f>
        <v>0</v>
      </c>
      <c r="L79" s="350">
        <f t="shared" ref="L79:L85" si="3">G79+J79</f>
        <v>2055.4166666666665</v>
      </c>
      <c r="M79" s="351">
        <f t="shared" ref="M79:M85" si="4">D79*L79</f>
        <v>0</v>
      </c>
      <c r="N79" s="258"/>
      <c r="O79" s="258"/>
    </row>
    <row r="80" spans="1:15" ht="14.15" customHeight="1" x14ac:dyDescent="0.3">
      <c r="A80" s="341" t="s">
        <v>149</v>
      </c>
      <c r="B80" s="443" t="s">
        <v>150</v>
      </c>
      <c r="C80" s="88" t="s">
        <v>108</v>
      </c>
      <c r="D80" s="1">
        <f>10 + N("2m per AC in for inverters")</f>
        <v>10</v>
      </c>
      <c r="E80" s="36">
        <v>947.75</v>
      </c>
      <c r="F80" s="41">
        <v>0.25</v>
      </c>
      <c r="G80" s="348">
        <f t="shared" si="0"/>
        <v>1263.6666666666667</v>
      </c>
      <c r="H80" s="348">
        <v>25</v>
      </c>
      <c r="I80" s="83">
        <v>0.15</v>
      </c>
      <c r="J80" s="79">
        <f t="shared" si="1"/>
        <v>28.749999999999996</v>
      </c>
      <c r="K80" s="349">
        <f t="shared" si="2"/>
        <v>287.49999999999994</v>
      </c>
      <c r="L80" s="350">
        <f t="shared" si="3"/>
        <v>1292.4166666666667</v>
      </c>
      <c r="M80" s="351">
        <f t="shared" si="4"/>
        <v>12924.166666666668</v>
      </c>
      <c r="N80" s="258"/>
      <c r="O80" s="258"/>
    </row>
    <row r="81" spans="1:15" ht="14.15" customHeight="1" x14ac:dyDescent="0.3">
      <c r="A81" s="341" t="s">
        <v>151</v>
      </c>
      <c r="B81" s="443" t="s">
        <v>152</v>
      </c>
      <c r="C81" s="88" t="s">
        <v>108</v>
      </c>
      <c r="D81" s="1">
        <v>0</v>
      </c>
      <c r="E81" s="36">
        <v>686.12</v>
      </c>
      <c r="F81" s="41">
        <v>0.25</v>
      </c>
      <c r="G81" s="348">
        <f t="shared" si="0"/>
        <v>914.82666666666671</v>
      </c>
      <c r="H81" s="348">
        <v>25</v>
      </c>
      <c r="I81" s="83">
        <v>0.15</v>
      </c>
      <c r="J81" s="79">
        <f t="shared" si="1"/>
        <v>28.749999999999996</v>
      </c>
      <c r="K81" s="349">
        <f t="shared" si="2"/>
        <v>0</v>
      </c>
      <c r="L81" s="350">
        <f t="shared" si="3"/>
        <v>943.57666666666671</v>
      </c>
      <c r="M81" s="351">
        <f t="shared" si="4"/>
        <v>0</v>
      </c>
      <c r="N81" s="258"/>
      <c r="O81" s="258"/>
    </row>
    <row r="82" spans="1:15" ht="14.15" customHeight="1" x14ac:dyDescent="0.3">
      <c r="A82" s="341" t="s">
        <v>153</v>
      </c>
      <c r="B82" s="443" t="s">
        <v>154</v>
      </c>
      <c r="C82" s="88" t="s">
        <v>108</v>
      </c>
      <c r="D82" s="1">
        <v>0</v>
      </c>
      <c r="E82" s="36">
        <v>538.9</v>
      </c>
      <c r="F82" s="41">
        <v>0.25</v>
      </c>
      <c r="G82" s="348">
        <f t="shared" si="0"/>
        <v>718.5333333333333</v>
      </c>
      <c r="H82" s="348">
        <v>25</v>
      </c>
      <c r="I82" s="83">
        <v>0.15</v>
      </c>
      <c r="J82" s="79">
        <f t="shared" si="1"/>
        <v>28.749999999999996</v>
      </c>
      <c r="K82" s="349">
        <f t="shared" si="2"/>
        <v>0</v>
      </c>
      <c r="L82" s="350">
        <f t="shared" si="3"/>
        <v>747.2833333333333</v>
      </c>
      <c r="M82" s="351">
        <f t="shared" si="4"/>
        <v>0</v>
      </c>
      <c r="N82" s="258"/>
      <c r="O82" s="258"/>
    </row>
    <row r="83" spans="1:15" ht="14.15" customHeight="1" x14ac:dyDescent="0.3">
      <c r="A83" s="341" t="s">
        <v>155</v>
      </c>
      <c r="B83" s="443" t="s">
        <v>156</v>
      </c>
      <c r="C83" s="87" t="s">
        <v>108</v>
      </c>
      <c r="D83" s="1">
        <v>0</v>
      </c>
      <c r="E83" s="36">
        <v>450</v>
      </c>
      <c r="F83" s="41">
        <v>0.25</v>
      </c>
      <c r="G83" s="348">
        <f t="shared" si="0"/>
        <v>600</v>
      </c>
      <c r="H83" s="348">
        <v>25</v>
      </c>
      <c r="I83" s="83">
        <v>0.15</v>
      </c>
      <c r="J83" s="79">
        <f t="shared" si="1"/>
        <v>28.749999999999996</v>
      </c>
      <c r="K83" s="349">
        <f t="shared" si="2"/>
        <v>0</v>
      </c>
      <c r="L83" s="350">
        <f t="shared" si="3"/>
        <v>628.75</v>
      </c>
      <c r="M83" s="351">
        <f t="shared" si="4"/>
        <v>0</v>
      </c>
      <c r="N83" s="258"/>
      <c r="O83" s="258"/>
    </row>
    <row r="84" spans="1:15" ht="14.15" customHeight="1" x14ac:dyDescent="0.3">
      <c r="A84" s="341" t="s">
        <v>157</v>
      </c>
      <c r="B84" s="443" t="s">
        <v>158</v>
      </c>
      <c r="C84" s="87" t="s">
        <v>108</v>
      </c>
      <c r="D84" s="1">
        <f>60 + N("3 sub DB's, 20m each")</f>
        <v>60</v>
      </c>
      <c r="E84" s="36">
        <v>380</v>
      </c>
      <c r="F84" s="41">
        <v>0.25</v>
      </c>
      <c r="G84" s="348">
        <f t="shared" si="0"/>
        <v>506.66666666666669</v>
      </c>
      <c r="H84" s="348">
        <v>25</v>
      </c>
      <c r="I84" s="83">
        <v>0.15</v>
      </c>
      <c r="J84" s="79">
        <f t="shared" si="1"/>
        <v>28.749999999999996</v>
      </c>
      <c r="K84" s="349">
        <f t="shared" si="2"/>
        <v>1724.9999999999998</v>
      </c>
      <c r="L84" s="350">
        <f t="shared" si="3"/>
        <v>535.41666666666663</v>
      </c>
      <c r="M84" s="351">
        <f t="shared" si="4"/>
        <v>32124.999999999996</v>
      </c>
      <c r="N84" s="258"/>
      <c r="O84" s="258"/>
    </row>
    <row r="85" spans="1:15" ht="14.5" customHeight="1" thickBot="1" x14ac:dyDescent="0.35">
      <c r="A85" s="381" t="s">
        <v>159</v>
      </c>
      <c r="B85" s="446" t="s">
        <v>160</v>
      </c>
      <c r="C85" s="86" t="s">
        <v>108</v>
      </c>
      <c r="D85" s="50">
        <v>0</v>
      </c>
      <c r="E85" s="51">
        <f>215</f>
        <v>215</v>
      </c>
      <c r="F85" s="52">
        <v>0.25</v>
      </c>
      <c r="G85" s="376">
        <f t="shared" si="0"/>
        <v>286.66666666666669</v>
      </c>
      <c r="H85" s="376">
        <v>25</v>
      </c>
      <c r="I85" s="83">
        <v>0.15</v>
      </c>
      <c r="J85" s="79">
        <f t="shared" si="1"/>
        <v>28.749999999999996</v>
      </c>
      <c r="K85" s="349">
        <f t="shared" si="2"/>
        <v>0</v>
      </c>
      <c r="L85" s="350">
        <f t="shared" si="3"/>
        <v>315.41666666666669</v>
      </c>
      <c r="M85" s="378">
        <f t="shared" si="4"/>
        <v>0</v>
      </c>
      <c r="N85" s="258"/>
      <c r="O85" s="258"/>
    </row>
    <row r="86" spans="1:15" ht="14.5" customHeight="1" thickBot="1" x14ac:dyDescent="0.35">
      <c r="A86" s="397"/>
      <c r="B86" s="449"/>
      <c r="C86" s="89"/>
      <c r="D86" s="72"/>
      <c r="E86" s="73"/>
      <c r="F86" s="74"/>
      <c r="G86" s="356"/>
      <c r="H86" s="356"/>
      <c r="I86" s="73"/>
      <c r="J86" s="73"/>
      <c r="K86" s="357"/>
      <c r="L86" s="358"/>
      <c r="M86" s="358"/>
      <c r="N86" s="258"/>
      <c r="O86" s="258"/>
    </row>
    <row r="87" spans="1:15" ht="14.15" customHeight="1" x14ac:dyDescent="0.3">
      <c r="A87" s="359">
        <v>2.12</v>
      </c>
      <c r="B87" s="450"/>
      <c r="C87" s="91"/>
      <c r="D87" s="58" t="s">
        <v>161</v>
      </c>
      <c r="E87" s="56"/>
      <c r="F87" s="57"/>
      <c r="G87" s="361"/>
      <c r="H87" s="361"/>
      <c r="I87" s="56"/>
      <c r="J87" s="56"/>
      <c r="K87" s="362"/>
      <c r="L87" s="363"/>
      <c r="M87" s="363"/>
      <c r="N87" s="258"/>
      <c r="O87" s="258"/>
    </row>
    <row r="88" spans="1:15" ht="14.15" customHeight="1" x14ac:dyDescent="0.3">
      <c r="A88" s="341"/>
      <c r="B88" s="444"/>
      <c r="C88" s="87"/>
      <c r="D88" s="1"/>
      <c r="E88" s="36"/>
      <c r="F88" s="41"/>
      <c r="G88" s="348"/>
      <c r="H88" s="348"/>
      <c r="I88" s="79"/>
      <c r="J88" s="79"/>
      <c r="K88" s="349"/>
      <c r="L88" s="350"/>
      <c r="M88" s="351"/>
      <c r="N88" s="258"/>
      <c r="O88" s="258"/>
    </row>
    <row r="89" spans="1:15" ht="14.15" customHeight="1" x14ac:dyDescent="0.3">
      <c r="A89" s="341" t="s">
        <v>162</v>
      </c>
      <c r="B89" s="443" t="s">
        <v>163</v>
      </c>
      <c r="C89" s="87" t="s">
        <v>108</v>
      </c>
      <c r="D89" s="1">
        <v>0</v>
      </c>
      <c r="E89" s="36">
        <v>109.45</v>
      </c>
      <c r="F89" s="41">
        <v>0.2</v>
      </c>
      <c r="G89" s="348">
        <f>E89/(1-F89)</f>
        <v>136.8125</v>
      </c>
      <c r="H89" s="348">
        <v>50</v>
      </c>
      <c r="I89" s="83">
        <v>0.15</v>
      </c>
      <c r="J89" s="79">
        <f>H89*(1+I89)</f>
        <v>57.499999999999993</v>
      </c>
      <c r="K89" s="349">
        <f>J89*D89</f>
        <v>0</v>
      </c>
      <c r="L89" s="350">
        <f>G89+J89</f>
        <v>194.3125</v>
      </c>
      <c r="M89" s="351">
        <f>D89*L89</f>
        <v>0</v>
      </c>
      <c r="N89" s="258"/>
      <c r="O89" s="258"/>
    </row>
    <row r="90" spans="1:15" ht="14.15" customHeight="1" x14ac:dyDescent="0.3">
      <c r="A90" s="341"/>
      <c r="B90" s="443" t="s">
        <v>164</v>
      </c>
      <c r="C90" s="87" t="s">
        <v>108</v>
      </c>
      <c r="D90" s="1">
        <v>80</v>
      </c>
      <c r="E90" s="36">
        <v>70.599999999999994</v>
      </c>
      <c r="F90" s="41">
        <v>0.2</v>
      </c>
      <c r="G90" s="348">
        <f>E90/(1-F90)</f>
        <v>88.249999999999986</v>
      </c>
      <c r="H90" s="348">
        <v>50</v>
      </c>
      <c r="I90" s="83">
        <v>0.15</v>
      </c>
      <c r="J90" s="79">
        <f>H90*(1+I90)</f>
        <v>57.499999999999993</v>
      </c>
      <c r="K90" s="349">
        <f>J90*D90</f>
        <v>4599.9999999999991</v>
      </c>
      <c r="L90" s="350">
        <f>G90+J90</f>
        <v>145.74999999999997</v>
      </c>
      <c r="M90" s="351">
        <f>D90*L90</f>
        <v>11659.999999999998</v>
      </c>
      <c r="N90" s="258"/>
      <c r="O90" s="258"/>
    </row>
    <row r="91" spans="1:15" ht="14.5" customHeight="1" thickBot="1" x14ac:dyDescent="0.35">
      <c r="A91" s="381"/>
      <c r="B91" s="446" t="s">
        <v>165</v>
      </c>
      <c r="C91" s="86" t="s">
        <v>108</v>
      </c>
      <c r="D91" s="50">
        <v>80</v>
      </c>
      <c r="E91" s="51">
        <v>22.91</v>
      </c>
      <c r="F91" s="52">
        <v>0.2</v>
      </c>
      <c r="G91" s="376">
        <f>E91/(1-F91)</f>
        <v>28.637499999999999</v>
      </c>
      <c r="H91" s="376">
        <v>50</v>
      </c>
      <c r="I91" s="83">
        <v>0.15</v>
      </c>
      <c r="J91" s="79">
        <f>H91*(1+I91)</f>
        <v>57.499999999999993</v>
      </c>
      <c r="K91" s="349">
        <f>J91*D91</f>
        <v>4599.9999999999991</v>
      </c>
      <c r="L91" s="350">
        <f>G91+J91</f>
        <v>86.137499999999989</v>
      </c>
      <c r="M91" s="378">
        <f>D91*L91</f>
        <v>6890.9999999999991</v>
      </c>
      <c r="N91" s="258"/>
      <c r="O91" s="258"/>
    </row>
    <row r="92" spans="1:15" ht="14.5" customHeight="1" thickBot="1" x14ac:dyDescent="0.35">
      <c r="A92" s="397"/>
      <c r="B92" s="449"/>
      <c r="C92" s="89"/>
      <c r="D92" s="72"/>
      <c r="E92" s="73"/>
      <c r="F92" s="74"/>
      <c r="G92" s="356"/>
      <c r="H92" s="356"/>
      <c r="I92" s="73"/>
      <c r="J92" s="73"/>
      <c r="K92" s="357"/>
      <c r="L92" s="358"/>
      <c r="M92" s="358"/>
      <c r="N92" s="258"/>
      <c r="O92" s="258"/>
    </row>
    <row r="93" spans="1:15" ht="14.15" customHeight="1" x14ac:dyDescent="0.3">
      <c r="A93" s="359">
        <v>2.13</v>
      </c>
      <c r="B93" s="450"/>
      <c r="C93" s="91"/>
      <c r="D93" s="58" t="s">
        <v>166</v>
      </c>
      <c r="E93" s="56"/>
      <c r="F93" s="57"/>
      <c r="G93" s="361"/>
      <c r="H93" s="361"/>
      <c r="I93" s="56"/>
      <c r="J93" s="56"/>
      <c r="K93" s="362"/>
      <c r="L93" s="363"/>
      <c r="M93" s="363"/>
      <c r="N93" s="258"/>
      <c r="O93" s="258"/>
    </row>
    <row r="94" spans="1:15" ht="14.15" customHeight="1" x14ac:dyDescent="0.3">
      <c r="A94" s="341"/>
      <c r="B94" s="444"/>
      <c r="C94" s="87"/>
      <c r="D94" s="1"/>
      <c r="E94" s="36"/>
      <c r="F94" s="41"/>
      <c r="G94" s="348"/>
      <c r="H94" s="348"/>
      <c r="I94" s="79"/>
      <c r="J94" s="79"/>
      <c r="K94" s="349"/>
      <c r="L94" s="350"/>
      <c r="M94" s="351"/>
      <c r="N94" s="258"/>
      <c r="O94" s="258"/>
    </row>
    <row r="95" spans="1:15" ht="14.15" customHeight="1" x14ac:dyDescent="0.3">
      <c r="A95" s="341" t="s">
        <v>167</v>
      </c>
      <c r="B95" s="443" t="s">
        <v>168</v>
      </c>
      <c r="C95" s="87" t="s">
        <v>108</v>
      </c>
      <c r="D95" s="1">
        <v>20</v>
      </c>
      <c r="E95" s="36">
        <v>25</v>
      </c>
      <c r="F95" s="41">
        <v>0.2</v>
      </c>
      <c r="G95" s="348">
        <f>E95/(1-F95)</f>
        <v>31.25</v>
      </c>
      <c r="H95" s="348"/>
      <c r="I95" s="83">
        <v>0.15</v>
      </c>
      <c r="J95" s="79">
        <f>H95*(1+I95)</f>
        <v>0</v>
      </c>
      <c r="K95" s="349">
        <f>J95*D95</f>
        <v>0</v>
      </c>
      <c r="L95" s="350">
        <f>G95+J95</f>
        <v>31.25</v>
      </c>
      <c r="M95" s="351">
        <f>D95*L95</f>
        <v>625</v>
      </c>
      <c r="N95" s="258"/>
      <c r="O95" s="258"/>
    </row>
    <row r="96" spans="1:15" ht="14.15" customHeight="1" x14ac:dyDescent="0.3">
      <c r="A96" s="341" t="s">
        <v>169</v>
      </c>
      <c r="B96" s="443" t="s">
        <v>170</v>
      </c>
      <c r="C96" s="87" t="s">
        <v>108</v>
      </c>
      <c r="D96" s="1">
        <v>20</v>
      </c>
      <c r="E96" s="36">
        <v>33</v>
      </c>
      <c r="F96" s="41">
        <v>0.2</v>
      </c>
      <c r="G96" s="348">
        <f>E96/(1-F96)</f>
        <v>41.25</v>
      </c>
      <c r="H96" s="348"/>
      <c r="I96" s="83">
        <v>0.15</v>
      </c>
      <c r="J96" s="79">
        <f>H96*(1+I96)</f>
        <v>0</v>
      </c>
      <c r="K96" s="349">
        <f>J96*D96</f>
        <v>0</v>
      </c>
      <c r="L96" s="350">
        <f>G96+J96</f>
        <v>41.25</v>
      </c>
      <c r="M96" s="351">
        <f>D96*L96</f>
        <v>825</v>
      </c>
      <c r="N96" s="258"/>
      <c r="O96" s="258"/>
    </row>
    <row r="97" spans="1:15" ht="14.5" customHeight="1" thickBot="1" x14ac:dyDescent="0.35">
      <c r="A97" s="341" t="s">
        <v>171</v>
      </c>
      <c r="B97" s="451" t="s">
        <v>172</v>
      </c>
      <c r="C97" s="29" t="s">
        <v>108</v>
      </c>
      <c r="D97" s="1">
        <v>0</v>
      </c>
      <c r="E97" s="36">
        <v>37</v>
      </c>
      <c r="F97" s="41">
        <v>0.2</v>
      </c>
      <c r="G97" s="348">
        <f>E97/(1-F97)</f>
        <v>46.25</v>
      </c>
      <c r="H97" s="348"/>
      <c r="I97" s="83">
        <v>0.15</v>
      </c>
      <c r="J97" s="79">
        <f>H97*(1+I97)</f>
        <v>0</v>
      </c>
      <c r="K97" s="349">
        <f>J97*D97</f>
        <v>0</v>
      </c>
      <c r="L97" s="350">
        <f>G97+J97</f>
        <v>46.25</v>
      </c>
      <c r="M97" s="351">
        <f>D97*L97</f>
        <v>0</v>
      </c>
      <c r="N97" s="258"/>
      <c r="O97" s="258"/>
    </row>
    <row r="98" spans="1:15" ht="14.5" customHeight="1" thickBot="1" x14ac:dyDescent="0.35">
      <c r="A98" s="397"/>
      <c r="B98" s="449"/>
      <c r="C98" s="71"/>
      <c r="D98" s="72"/>
      <c r="E98" s="73"/>
      <c r="F98" s="74"/>
      <c r="G98" s="356"/>
      <c r="H98" s="356"/>
      <c r="I98" s="73"/>
      <c r="J98" s="73"/>
      <c r="K98" s="357"/>
      <c r="L98" s="358"/>
      <c r="M98" s="358"/>
      <c r="N98" s="258"/>
      <c r="O98" s="258"/>
    </row>
    <row r="99" spans="1:15" s="297" customFormat="1" ht="14.15" customHeight="1" x14ac:dyDescent="0.3">
      <c r="A99" s="402">
        <v>2.14</v>
      </c>
      <c r="B99" s="452"/>
      <c r="C99" s="78"/>
      <c r="D99" s="65" t="s">
        <v>173</v>
      </c>
      <c r="E99" s="53"/>
      <c r="F99" s="54"/>
      <c r="G99" s="391"/>
      <c r="H99" s="391"/>
      <c r="I99" s="53"/>
      <c r="J99" s="53"/>
      <c r="K99" s="392"/>
      <c r="L99" s="393"/>
      <c r="M99" s="393"/>
      <c r="N99" s="258"/>
      <c r="O99" s="258"/>
    </row>
    <row r="100" spans="1:15" s="297" customFormat="1" ht="14.15" customHeight="1" x14ac:dyDescent="0.3">
      <c r="A100" s="341"/>
      <c r="B100" s="444"/>
      <c r="C100" s="29"/>
      <c r="D100" s="1"/>
      <c r="E100" s="36"/>
      <c r="F100" s="41"/>
      <c r="G100" s="348"/>
      <c r="H100" s="348"/>
      <c r="I100" s="79"/>
      <c r="J100" s="79"/>
      <c r="K100" s="349"/>
      <c r="L100" s="350"/>
      <c r="M100" s="351"/>
      <c r="N100" s="258"/>
      <c r="O100" s="258"/>
    </row>
    <row r="101" spans="1:15" s="297" customFormat="1" ht="28" customHeight="1" x14ac:dyDescent="0.3">
      <c r="A101" s="341"/>
      <c r="B101" s="443" t="s">
        <v>174</v>
      </c>
      <c r="C101" s="29"/>
      <c r="D101" s="1"/>
      <c r="E101" s="36"/>
      <c r="F101" s="41"/>
      <c r="G101" s="348"/>
      <c r="H101" s="348"/>
      <c r="I101" s="79"/>
      <c r="J101" s="79"/>
      <c r="K101" s="349"/>
      <c r="L101" s="350"/>
      <c r="M101" s="351"/>
      <c r="N101" s="258"/>
      <c r="O101" s="258"/>
    </row>
    <row r="102" spans="1:15" s="297" customFormat="1" ht="14.15" customHeight="1" x14ac:dyDescent="0.3">
      <c r="A102" s="384"/>
      <c r="B102" s="443"/>
      <c r="C102" s="29"/>
      <c r="D102" s="1"/>
      <c r="E102" s="36"/>
      <c r="F102" s="41"/>
      <c r="G102" s="348"/>
      <c r="H102" s="348"/>
      <c r="I102" s="79"/>
      <c r="J102" s="79"/>
      <c r="K102" s="349"/>
      <c r="L102" s="350"/>
      <c r="M102" s="351"/>
      <c r="N102" s="258"/>
      <c r="O102" s="258"/>
    </row>
    <row r="103" spans="1:15" s="297" customFormat="1" ht="14.15" customHeight="1" x14ac:dyDescent="0.3">
      <c r="A103" s="384"/>
      <c r="B103" s="443" t="s">
        <v>282</v>
      </c>
      <c r="C103" s="29" t="s">
        <v>85</v>
      </c>
      <c r="D103" s="1">
        <v>0</v>
      </c>
      <c r="E103" s="36">
        <f>1100*1.1</f>
        <v>1210</v>
      </c>
      <c r="F103" s="41">
        <v>0.2</v>
      </c>
      <c r="G103" s="348">
        <f t="shared" ref="G103:G115" si="5">E103/(1-F103)</f>
        <v>1512.5</v>
      </c>
      <c r="H103" s="348">
        <f>(250+100)*1.5</f>
        <v>525</v>
      </c>
      <c r="I103" s="83">
        <v>0.15</v>
      </c>
      <c r="J103" s="79">
        <f t="shared" ref="J103:J115" si="6">H103*(1+I103)</f>
        <v>603.75</v>
      </c>
      <c r="K103" s="349">
        <f t="shared" ref="K103:K115" si="7">J103*D103</f>
        <v>0</v>
      </c>
      <c r="L103" s="350">
        <f t="shared" ref="L103:L115" si="8">G103+J103</f>
        <v>2116.25</v>
      </c>
      <c r="M103" s="351">
        <f t="shared" ref="M103:M115" si="9">D103*L103</f>
        <v>0</v>
      </c>
      <c r="N103" s="258"/>
      <c r="O103" s="258"/>
    </row>
    <row r="104" spans="1:15" s="297" customFormat="1" ht="14.15" customHeight="1" x14ac:dyDescent="0.3">
      <c r="A104" s="341" t="s">
        <v>175</v>
      </c>
      <c r="B104" s="443" t="s">
        <v>150</v>
      </c>
      <c r="C104" s="29" t="s">
        <v>85</v>
      </c>
      <c r="D104" s="1">
        <v>12</v>
      </c>
      <c r="E104" s="36">
        <f>752.54*1.1</f>
        <v>827.79399999999998</v>
      </c>
      <c r="F104" s="41">
        <v>0.2</v>
      </c>
      <c r="G104" s="348">
        <f t="shared" si="5"/>
        <v>1034.7424999999998</v>
      </c>
      <c r="H104" s="348">
        <f>(250+100)*1.5</f>
        <v>525</v>
      </c>
      <c r="I104" s="83">
        <v>0.15</v>
      </c>
      <c r="J104" s="79">
        <f t="shared" si="6"/>
        <v>603.75</v>
      </c>
      <c r="K104" s="349">
        <f t="shared" si="7"/>
        <v>7245</v>
      </c>
      <c r="L104" s="350">
        <f t="shared" si="8"/>
        <v>1638.4924999999998</v>
      </c>
      <c r="M104" s="351">
        <f t="shared" si="9"/>
        <v>19661.909999999996</v>
      </c>
      <c r="N104" s="258"/>
      <c r="O104" s="258"/>
    </row>
    <row r="105" spans="1:15" s="297" customFormat="1" ht="14.15" customHeight="1" x14ac:dyDescent="0.3">
      <c r="A105" s="341"/>
      <c r="B105" s="443" t="s">
        <v>428</v>
      </c>
      <c r="C105" s="29" t="s">
        <v>85</v>
      </c>
      <c r="D105" s="1">
        <v>24</v>
      </c>
      <c r="E105" s="36">
        <v>500</v>
      </c>
      <c r="F105" s="41">
        <v>0.2</v>
      </c>
      <c r="G105" s="348">
        <f t="shared" si="5"/>
        <v>625</v>
      </c>
      <c r="H105" s="348">
        <f>(250+100)*1.5</f>
        <v>525</v>
      </c>
      <c r="I105" s="83">
        <v>0.15</v>
      </c>
      <c r="J105" s="79">
        <f t="shared" si="6"/>
        <v>603.75</v>
      </c>
      <c r="K105" s="349">
        <f t="shared" si="7"/>
        <v>14490</v>
      </c>
      <c r="L105" s="350">
        <f t="shared" si="8"/>
        <v>1228.75</v>
      </c>
      <c r="M105" s="351">
        <f t="shared" si="9"/>
        <v>29490</v>
      </c>
      <c r="N105" s="258"/>
      <c r="O105" s="258"/>
    </row>
    <row r="106" spans="1:15" s="297" customFormat="1" ht="14.15" customHeight="1" x14ac:dyDescent="0.3">
      <c r="A106" s="341" t="s">
        <v>176</v>
      </c>
      <c r="B106" s="443" t="s">
        <v>177</v>
      </c>
      <c r="C106" s="29" t="s">
        <v>85</v>
      </c>
      <c r="D106" s="1">
        <v>0</v>
      </c>
      <c r="E106" s="36">
        <f>350*1.1</f>
        <v>385.00000000000006</v>
      </c>
      <c r="F106" s="41">
        <v>0.2</v>
      </c>
      <c r="G106" s="348">
        <f t="shared" si="5"/>
        <v>481.25000000000006</v>
      </c>
      <c r="H106" s="348">
        <f>(250+100)*1.5</f>
        <v>525</v>
      </c>
      <c r="I106" s="83">
        <v>0.15</v>
      </c>
      <c r="J106" s="79">
        <f t="shared" si="6"/>
        <v>603.75</v>
      </c>
      <c r="K106" s="349">
        <f t="shared" si="7"/>
        <v>0</v>
      </c>
      <c r="L106" s="350">
        <f t="shared" si="8"/>
        <v>1085</v>
      </c>
      <c r="M106" s="351">
        <f t="shared" si="9"/>
        <v>0</v>
      </c>
      <c r="N106" s="258"/>
      <c r="O106" s="258"/>
    </row>
    <row r="107" spans="1:15" s="297" customFormat="1" ht="14.15" customHeight="1" x14ac:dyDescent="0.3">
      <c r="A107" s="341" t="s">
        <v>178</v>
      </c>
      <c r="B107" s="443" t="s">
        <v>437</v>
      </c>
      <c r="C107" s="29" t="s">
        <v>85</v>
      </c>
      <c r="D107" s="1">
        <v>24</v>
      </c>
      <c r="E107" s="36">
        <v>300</v>
      </c>
      <c r="F107" s="41">
        <v>0.2</v>
      </c>
      <c r="G107" s="348">
        <f t="shared" si="5"/>
        <v>375</v>
      </c>
      <c r="H107" s="348">
        <f>(250+100)*1.5</f>
        <v>525</v>
      </c>
      <c r="I107" s="83">
        <v>0.15</v>
      </c>
      <c r="J107" s="79">
        <f t="shared" si="6"/>
        <v>603.75</v>
      </c>
      <c r="K107" s="349">
        <f t="shared" si="7"/>
        <v>14490</v>
      </c>
      <c r="L107" s="350">
        <f t="shared" si="8"/>
        <v>978.75</v>
      </c>
      <c r="M107" s="351">
        <f t="shared" si="9"/>
        <v>23490</v>
      </c>
      <c r="N107" s="258"/>
      <c r="O107" s="258"/>
    </row>
    <row r="108" spans="1:15" s="297" customFormat="1" ht="14.15" customHeight="1" x14ac:dyDescent="0.3">
      <c r="A108" s="341" t="s">
        <v>179</v>
      </c>
      <c r="B108" s="443" t="s">
        <v>154</v>
      </c>
      <c r="C108" s="29" t="s">
        <v>85</v>
      </c>
      <c r="D108" s="1">
        <v>0</v>
      </c>
      <c r="E108" s="36">
        <v>350</v>
      </c>
      <c r="F108" s="41">
        <v>0.2</v>
      </c>
      <c r="G108" s="348">
        <f t="shared" si="5"/>
        <v>437.5</v>
      </c>
      <c r="H108" s="348">
        <v>525</v>
      </c>
      <c r="I108" s="83">
        <v>0.15</v>
      </c>
      <c r="J108" s="79">
        <f t="shared" si="6"/>
        <v>603.75</v>
      </c>
      <c r="K108" s="349">
        <f t="shared" si="7"/>
        <v>0</v>
      </c>
      <c r="L108" s="350">
        <f t="shared" si="8"/>
        <v>1041.25</v>
      </c>
      <c r="M108" s="351">
        <f t="shared" si="9"/>
        <v>0</v>
      </c>
      <c r="N108" s="258"/>
      <c r="O108" s="258"/>
    </row>
    <row r="109" spans="1:15" s="297" customFormat="1" ht="14.5" customHeight="1" x14ac:dyDescent="0.3">
      <c r="A109" s="341" t="s">
        <v>180</v>
      </c>
      <c r="B109" s="443" t="s">
        <v>156</v>
      </c>
      <c r="C109" s="29" t="s">
        <v>85</v>
      </c>
      <c r="D109" s="1">
        <v>0</v>
      </c>
      <c r="E109" s="36"/>
      <c r="F109" s="41"/>
      <c r="G109" s="348">
        <f t="shared" si="5"/>
        <v>0</v>
      </c>
      <c r="H109" s="348">
        <v>525</v>
      </c>
      <c r="I109" s="83">
        <v>0.15</v>
      </c>
      <c r="J109" s="79">
        <f t="shared" si="6"/>
        <v>603.75</v>
      </c>
      <c r="K109" s="349">
        <f t="shared" si="7"/>
        <v>0</v>
      </c>
      <c r="L109" s="350">
        <f t="shared" si="8"/>
        <v>603.75</v>
      </c>
      <c r="M109" s="351">
        <f t="shared" si="9"/>
        <v>0</v>
      </c>
      <c r="N109" s="258"/>
      <c r="O109" s="258"/>
    </row>
    <row r="110" spans="1:15" s="297" customFormat="1" ht="14.15" customHeight="1" x14ac:dyDescent="0.3">
      <c r="A110" s="341" t="s">
        <v>181</v>
      </c>
      <c r="B110" s="443" t="s">
        <v>158</v>
      </c>
      <c r="C110" s="29" t="s">
        <v>85</v>
      </c>
      <c r="D110" s="1">
        <v>26</v>
      </c>
      <c r="E110" s="36">
        <v>350</v>
      </c>
      <c r="F110" s="41">
        <v>0.2</v>
      </c>
      <c r="G110" s="348">
        <f t="shared" si="5"/>
        <v>437.5</v>
      </c>
      <c r="H110" s="348">
        <v>525</v>
      </c>
      <c r="I110" s="83">
        <v>0.15</v>
      </c>
      <c r="J110" s="79">
        <f t="shared" si="6"/>
        <v>603.75</v>
      </c>
      <c r="K110" s="349">
        <f t="shared" si="7"/>
        <v>15697.5</v>
      </c>
      <c r="L110" s="350">
        <f t="shared" si="8"/>
        <v>1041.25</v>
      </c>
      <c r="M110" s="351">
        <f t="shared" si="9"/>
        <v>27072.5</v>
      </c>
      <c r="N110" s="258"/>
      <c r="O110" s="258"/>
    </row>
    <row r="111" spans="1:15" s="297" customFormat="1" ht="14.15" customHeight="1" x14ac:dyDescent="0.3">
      <c r="A111" s="341" t="s">
        <v>182</v>
      </c>
      <c r="B111" s="443" t="s">
        <v>160</v>
      </c>
      <c r="C111" s="29" t="s">
        <v>85</v>
      </c>
      <c r="D111" s="1">
        <v>0</v>
      </c>
      <c r="E111" s="36">
        <v>350</v>
      </c>
      <c r="F111" s="41">
        <v>0.2</v>
      </c>
      <c r="G111" s="348">
        <f t="shared" si="5"/>
        <v>437.5</v>
      </c>
      <c r="H111" s="348">
        <v>525</v>
      </c>
      <c r="I111" s="83">
        <v>0.15</v>
      </c>
      <c r="J111" s="79">
        <f t="shared" si="6"/>
        <v>603.75</v>
      </c>
      <c r="K111" s="349">
        <f t="shared" si="7"/>
        <v>0</v>
      </c>
      <c r="L111" s="350">
        <f t="shared" si="8"/>
        <v>1041.25</v>
      </c>
      <c r="M111" s="351">
        <f t="shared" si="9"/>
        <v>0</v>
      </c>
      <c r="N111" s="258"/>
      <c r="O111" s="258"/>
    </row>
    <row r="112" spans="1:15" s="297" customFormat="1" ht="14.15" customHeight="1" x14ac:dyDescent="0.3">
      <c r="A112" s="341" t="s">
        <v>183</v>
      </c>
      <c r="B112" s="443" t="s">
        <v>184</v>
      </c>
      <c r="C112" s="29" t="s">
        <v>85</v>
      </c>
      <c r="D112" s="1">
        <v>0</v>
      </c>
      <c r="E112" s="36"/>
      <c r="F112" s="41"/>
      <c r="G112" s="348">
        <f t="shared" si="5"/>
        <v>0</v>
      </c>
      <c r="H112" s="348">
        <v>525</v>
      </c>
      <c r="I112" s="83">
        <v>0.15</v>
      </c>
      <c r="J112" s="79">
        <f t="shared" si="6"/>
        <v>603.75</v>
      </c>
      <c r="K112" s="349">
        <f t="shared" si="7"/>
        <v>0</v>
      </c>
      <c r="L112" s="350">
        <f t="shared" si="8"/>
        <v>603.75</v>
      </c>
      <c r="M112" s="351">
        <f t="shared" si="9"/>
        <v>0</v>
      </c>
      <c r="N112" s="258"/>
      <c r="O112" s="258"/>
    </row>
    <row r="113" spans="1:15" s="297" customFormat="1" ht="14.15" customHeight="1" x14ac:dyDescent="0.3">
      <c r="A113" s="341" t="s">
        <v>185</v>
      </c>
      <c r="B113" s="443" t="s">
        <v>186</v>
      </c>
      <c r="C113" s="29" t="s">
        <v>85</v>
      </c>
      <c r="D113" s="1">
        <v>0</v>
      </c>
      <c r="E113" s="36">
        <v>250</v>
      </c>
      <c r="F113" s="41">
        <v>0.2</v>
      </c>
      <c r="G113" s="348">
        <f t="shared" si="5"/>
        <v>312.5</v>
      </c>
      <c r="H113" s="348">
        <v>525</v>
      </c>
      <c r="I113" s="83">
        <v>0.15</v>
      </c>
      <c r="J113" s="79">
        <f t="shared" si="6"/>
        <v>603.75</v>
      </c>
      <c r="K113" s="349">
        <f t="shared" si="7"/>
        <v>0</v>
      </c>
      <c r="L113" s="350">
        <f t="shared" si="8"/>
        <v>916.25</v>
      </c>
      <c r="M113" s="351">
        <f t="shared" si="9"/>
        <v>0</v>
      </c>
      <c r="N113" s="258"/>
      <c r="O113" s="258"/>
    </row>
    <row r="114" spans="1:15" s="297" customFormat="1" ht="14.15" customHeight="1" x14ac:dyDescent="0.3">
      <c r="A114" s="341" t="s">
        <v>187</v>
      </c>
      <c r="B114" s="443" t="s">
        <v>188</v>
      </c>
      <c r="C114" s="29" t="s">
        <v>85</v>
      </c>
      <c r="D114" s="1">
        <v>0</v>
      </c>
      <c r="E114" s="36">
        <v>500</v>
      </c>
      <c r="F114" s="41">
        <v>0.2</v>
      </c>
      <c r="G114" s="348">
        <f t="shared" si="5"/>
        <v>625</v>
      </c>
      <c r="H114" s="348">
        <v>525</v>
      </c>
      <c r="I114" s="83">
        <v>0.15</v>
      </c>
      <c r="J114" s="79">
        <f t="shared" si="6"/>
        <v>603.75</v>
      </c>
      <c r="K114" s="349">
        <f t="shared" si="7"/>
        <v>0</v>
      </c>
      <c r="L114" s="350">
        <f t="shared" si="8"/>
        <v>1228.75</v>
      </c>
      <c r="M114" s="351">
        <f t="shared" si="9"/>
        <v>0</v>
      </c>
      <c r="N114" s="258"/>
      <c r="O114" s="258"/>
    </row>
    <row r="115" spans="1:15" s="297" customFormat="1" ht="14.5" customHeight="1" thickBot="1" x14ac:dyDescent="0.35">
      <c r="A115" s="381" t="s">
        <v>189</v>
      </c>
      <c r="B115" s="446" t="s">
        <v>190</v>
      </c>
      <c r="C115" s="76" t="s">
        <v>85</v>
      </c>
      <c r="D115" s="50">
        <v>0</v>
      </c>
      <c r="E115" s="51">
        <v>500</v>
      </c>
      <c r="F115" s="52">
        <v>0.2</v>
      </c>
      <c r="G115" s="376">
        <f t="shared" si="5"/>
        <v>625</v>
      </c>
      <c r="H115" s="376">
        <v>525</v>
      </c>
      <c r="I115" s="84">
        <v>0.15</v>
      </c>
      <c r="J115" s="80">
        <f t="shared" si="6"/>
        <v>603.75</v>
      </c>
      <c r="K115" s="382">
        <f t="shared" si="7"/>
        <v>0</v>
      </c>
      <c r="L115" s="350">
        <f t="shared" si="8"/>
        <v>1228.75</v>
      </c>
      <c r="M115" s="378">
        <f t="shared" si="9"/>
        <v>0</v>
      </c>
      <c r="N115" s="258"/>
      <c r="O115" s="258"/>
    </row>
    <row r="116" spans="1:15" s="297" customFormat="1" ht="14.5" customHeight="1" thickBot="1" x14ac:dyDescent="0.35">
      <c r="A116" s="404"/>
      <c r="B116" s="453"/>
      <c r="C116" s="29"/>
      <c r="D116" s="1"/>
      <c r="E116" s="36"/>
      <c r="F116" s="41"/>
      <c r="G116" s="348"/>
      <c r="H116" s="348"/>
      <c r="I116" s="79"/>
      <c r="J116" s="79"/>
      <c r="K116" s="406"/>
      <c r="L116" s="350"/>
      <c r="M116" s="351"/>
      <c r="N116" s="258"/>
      <c r="O116" s="258"/>
    </row>
    <row r="117" spans="1:15" ht="14.15" customHeight="1" x14ac:dyDescent="0.3">
      <c r="A117" s="359">
        <v>2.15</v>
      </c>
      <c r="B117" s="450"/>
      <c r="C117" s="75"/>
      <c r="D117" s="58" t="s">
        <v>191</v>
      </c>
      <c r="E117" s="56"/>
      <c r="F117" s="57"/>
      <c r="G117" s="361"/>
      <c r="H117" s="361"/>
      <c r="I117" s="56"/>
      <c r="J117" s="56"/>
      <c r="K117" s="362"/>
      <c r="L117" s="363"/>
      <c r="M117" s="363"/>
      <c r="N117" s="258"/>
      <c r="O117" s="258"/>
    </row>
    <row r="118" spans="1:15" ht="14.15" customHeight="1" x14ac:dyDescent="0.3">
      <c r="A118" s="341"/>
      <c r="B118" s="444"/>
      <c r="C118" s="29"/>
      <c r="D118" s="1"/>
      <c r="E118" s="36"/>
      <c r="F118" s="41"/>
      <c r="G118" s="348"/>
      <c r="H118" s="348"/>
      <c r="I118" s="79"/>
      <c r="J118" s="79"/>
      <c r="K118" s="349"/>
      <c r="L118" s="350"/>
      <c r="M118" s="351"/>
      <c r="N118" s="258"/>
      <c r="O118" s="258"/>
    </row>
    <row r="119" spans="1:15" ht="28" customHeight="1" x14ac:dyDescent="0.3">
      <c r="A119" s="341"/>
      <c r="B119" s="443" t="s">
        <v>192</v>
      </c>
      <c r="C119" s="29"/>
      <c r="D119" s="1"/>
      <c r="E119" s="36"/>
      <c r="F119" s="41"/>
      <c r="G119" s="348"/>
      <c r="H119" s="348"/>
      <c r="I119" s="79"/>
      <c r="J119" s="79"/>
      <c r="K119" s="349"/>
      <c r="L119" s="350"/>
      <c r="M119" s="351"/>
      <c r="N119" s="258"/>
      <c r="O119" s="258"/>
    </row>
    <row r="120" spans="1:15" ht="14.15" customHeight="1" x14ac:dyDescent="0.3">
      <c r="A120" s="384"/>
      <c r="B120" s="443"/>
      <c r="C120" s="29"/>
      <c r="D120" s="1"/>
      <c r="E120" s="36"/>
      <c r="F120" s="41"/>
      <c r="G120" s="348"/>
      <c r="H120" s="348"/>
      <c r="I120" s="79"/>
      <c r="J120" s="79"/>
      <c r="K120" s="349"/>
      <c r="L120" s="350"/>
      <c r="M120" s="351"/>
      <c r="N120" s="258"/>
      <c r="O120" s="258"/>
    </row>
    <row r="121" spans="1:15" ht="14.15" customHeight="1" x14ac:dyDescent="0.3">
      <c r="A121" s="341" t="s">
        <v>193</v>
      </c>
      <c r="B121" s="443" t="s">
        <v>194</v>
      </c>
      <c r="C121" s="29" t="s">
        <v>108</v>
      </c>
      <c r="D121" s="1">
        <v>0</v>
      </c>
      <c r="E121" s="36">
        <f>132*(15+10+10)</f>
        <v>4620</v>
      </c>
      <c r="F121" s="41">
        <v>0.2</v>
      </c>
      <c r="G121" s="348">
        <f>E121/(1-F121)</f>
        <v>5775</v>
      </c>
      <c r="H121" s="348">
        <f>9*(15+10+10)</f>
        <v>315</v>
      </c>
      <c r="I121" s="83">
        <v>0.15</v>
      </c>
      <c r="J121" s="79">
        <f>H121*(1+I121)</f>
        <v>362.25</v>
      </c>
      <c r="K121" s="349">
        <f>J121*D121</f>
        <v>0</v>
      </c>
      <c r="L121" s="350">
        <f>G121+J121</f>
        <v>6137.25</v>
      </c>
      <c r="M121" s="351">
        <f>D121*L121</f>
        <v>0</v>
      </c>
      <c r="N121" s="258"/>
      <c r="O121" s="258"/>
    </row>
    <row r="122" spans="1:15" ht="14.5" customHeight="1" thickBot="1" x14ac:dyDescent="0.35">
      <c r="A122" s="381" t="s">
        <v>195</v>
      </c>
      <c r="B122" s="446" t="s">
        <v>196</v>
      </c>
      <c r="C122" s="76" t="s">
        <v>108</v>
      </c>
      <c r="D122" s="50">
        <v>250</v>
      </c>
      <c r="E122" s="51">
        <f>30</f>
        <v>30</v>
      </c>
      <c r="F122" s="52">
        <v>0.2</v>
      </c>
      <c r="G122" s="376">
        <f>E122/(1-F122)</f>
        <v>37.5</v>
      </c>
      <c r="H122" s="376">
        <f>15</f>
        <v>15</v>
      </c>
      <c r="I122" s="84">
        <v>0.15</v>
      </c>
      <c r="J122" s="80">
        <f>H122*(1+I122)</f>
        <v>17.25</v>
      </c>
      <c r="K122" s="382">
        <f>J122*D122</f>
        <v>4312.5</v>
      </c>
      <c r="L122" s="407">
        <f>G122+J122</f>
        <v>54.75</v>
      </c>
      <c r="M122" s="378">
        <f>D122*L122</f>
        <v>13687.5</v>
      </c>
      <c r="N122" s="258"/>
      <c r="O122" s="258"/>
    </row>
    <row r="123" spans="1:15" ht="14.5" customHeight="1" thickBot="1" x14ac:dyDescent="0.35">
      <c r="A123" s="258"/>
      <c r="B123" s="453"/>
      <c r="C123" s="29"/>
      <c r="D123" s="1"/>
      <c r="E123" s="36"/>
      <c r="F123" s="41"/>
      <c r="G123" s="348"/>
      <c r="H123" s="348"/>
      <c r="I123" s="79"/>
      <c r="J123" s="79"/>
      <c r="K123" s="406"/>
      <c r="L123" s="350"/>
      <c r="M123" s="351"/>
      <c r="N123" s="258"/>
      <c r="O123" s="258"/>
    </row>
    <row r="124" spans="1:15" ht="14.15" customHeight="1" x14ac:dyDescent="0.3">
      <c r="A124" s="359">
        <v>2.16</v>
      </c>
      <c r="B124" s="450"/>
      <c r="C124" s="75"/>
      <c r="D124" s="58" t="s">
        <v>197</v>
      </c>
      <c r="E124" s="56"/>
      <c r="F124" s="57"/>
      <c r="G124" s="361"/>
      <c r="H124" s="361"/>
      <c r="I124" s="56"/>
      <c r="J124" s="56"/>
      <c r="K124" s="362"/>
      <c r="L124" s="363"/>
      <c r="M124" s="363"/>
      <c r="N124" s="258"/>
      <c r="O124" s="258"/>
    </row>
    <row r="125" spans="1:15" ht="14.15" customHeight="1" x14ac:dyDescent="0.3">
      <c r="A125" s="341"/>
      <c r="B125" s="444"/>
      <c r="C125" s="29"/>
      <c r="D125" s="1"/>
      <c r="E125" s="36"/>
      <c r="F125" s="41"/>
      <c r="G125" s="348"/>
      <c r="H125" s="348"/>
      <c r="I125" s="79"/>
      <c r="J125" s="79"/>
      <c r="K125" s="349"/>
      <c r="L125" s="350"/>
      <c r="M125" s="351"/>
      <c r="N125" s="258"/>
      <c r="O125" s="258"/>
    </row>
    <row r="126" spans="1:15" ht="28.5" customHeight="1" thickBot="1" x14ac:dyDescent="0.35">
      <c r="A126" s="381" t="s">
        <v>198</v>
      </c>
      <c r="B126" s="446" t="s">
        <v>199</v>
      </c>
      <c r="C126" s="86" t="s">
        <v>108</v>
      </c>
      <c r="D126" s="50">
        <v>10</v>
      </c>
      <c r="E126" s="51">
        <v>5</v>
      </c>
      <c r="F126" s="52">
        <v>0.2</v>
      </c>
      <c r="G126" s="376">
        <f>E126/(1-F126)</f>
        <v>6.25</v>
      </c>
      <c r="H126" s="376">
        <f>(100*3)</f>
        <v>300</v>
      </c>
      <c r="I126" s="84">
        <v>0.15</v>
      </c>
      <c r="J126" s="80">
        <f>H126*(1+I126)</f>
        <v>345</v>
      </c>
      <c r="K126" s="382">
        <f>J126*D126</f>
        <v>3450</v>
      </c>
      <c r="L126" s="407">
        <f>G126+J126</f>
        <v>351.25</v>
      </c>
      <c r="M126" s="378">
        <f>D126*L126</f>
        <v>3512.5</v>
      </c>
      <c r="N126" s="258"/>
      <c r="O126" s="258"/>
    </row>
    <row r="127" spans="1:15" ht="13.4" customHeight="1" thickBot="1" x14ac:dyDescent="0.35">
      <c r="A127" s="404"/>
      <c r="B127" s="453"/>
      <c r="C127" s="87"/>
      <c r="D127" s="1"/>
      <c r="E127" s="36"/>
      <c r="F127" s="41"/>
      <c r="G127" s="348"/>
      <c r="H127" s="348"/>
      <c r="I127" s="79"/>
      <c r="J127" s="79"/>
      <c r="K127" s="406"/>
      <c r="L127" s="350"/>
      <c r="M127" s="351"/>
      <c r="N127" s="258"/>
      <c r="O127" s="258"/>
    </row>
    <row r="128" spans="1:15" ht="14.15" customHeight="1" x14ac:dyDescent="0.3">
      <c r="A128" s="359">
        <v>2.17</v>
      </c>
      <c r="B128" s="450"/>
      <c r="C128" s="91"/>
      <c r="D128" s="58" t="s">
        <v>200</v>
      </c>
      <c r="E128" s="56"/>
      <c r="F128" s="57"/>
      <c r="G128" s="361"/>
      <c r="H128" s="361"/>
      <c r="I128" s="56"/>
      <c r="J128" s="56"/>
      <c r="K128" s="362"/>
      <c r="L128" s="363"/>
      <c r="M128" s="363"/>
      <c r="N128" s="258"/>
      <c r="O128" s="258"/>
    </row>
    <row r="129" spans="1:15" ht="14.15" customHeight="1" x14ac:dyDescent="0.3">
      <c r="A129" s="341"/>
      <c r="B129" s="454"/>
      <c r="C129" s="87"/>
      <c r="D129" s="1"/>
      <c r="E129" s="36"/>
      <c r="F129" s="41"/>
      <c r="G129" s="348"/>
      <c r="H129" s="348"/>
      <c r="I129" s="79"/>
      <c r="J129" s="79"/>
      <c r="K129" s="349"/>
      <c r="L129" s="350"/>
      <c r="M129" s="351"/>
      <c r="N129" s="258"/>
      <c r="O129" s="258"/>
    </row>
    <row r="130" spans="1:15" ht="14.15" customHeight="1" x14ac:dyDescent="0.3">
      <c r="A130" s="341"/>
      <c r="B130" s="443" t="s">
        <v>201</v>
      </c>
      <c r="C130" s="87"/>
      <c r="D130" s="1"/>
      <c r="E130" s="36"/>
      <c r="F130" s="41"/>
      <c r="G130" s="348"/>
      <c r="H130" s="348"/>
      <c r="I130" s="79"/>
      <c r="J130" s="79"/>
      <c r="K130" s="349"/>
      <c r="L130" s="350"/>
      <c r="M130" s="351"/>
      <c r="N130" s="258"/>
      <c r="O130" s="258"/>
    </row>
    <row r="131" spans="1:15" ht="14.15" customHeight="1" x14ac:dyDescent="0.3">
      <c r="A131" s="384"/>
      <c r="B131" s="455"/>
      <c r="C131" s="87"/>
      <c r="D131" s="1"/>
      <c r="E131" s="36"/>
      <c r="F131" s="41"/>
      <c r="G131" s="348"/>
      <c r="H131" s="348"/>
      <c r="I131" s="79"/>
      <c r="J131" s="79"/>
      <c r="K131" s="349"/>
      <c r="L131" s="350"/>
      <c r="M131" s="351"/>
      <c r="N131" s="258"/>
      <c r="O131" s="258"/>
    </row>
    <row r="132" spans="1:15" ht="28" customHeight="1" x14ac:dyDescent="0.3">
      <c r="A132" s="341" t="s">
        <v>202</v>
      </c>
      <c r="B132" s="443" t="s">
        <v>203</v>
      </c>
      <c r="C132" s="87" t="s">
        <v>42</v>
      </c>
      <c r="D132" s="1">
        <v>0</v>
      </c>
      <c r="E132" s="36"/>
      <c r="F132" s="41">
        <v>0.2</v>
      </c>
      <c r="G132" s="348">
        <f>E132/(1-F132)</f>
        <v>0</v>
      </c>
      <c r="H132" s="348">
        <f>140*(20+60+200)</f>
        <v>39200</v>
      </c>
      <c r="I132" s="83">
        <v>0.15</v>
      </c>
      <c r="J132" s="79">
        <f>H132*(1+I132)</f>
        <v>45080</v>
      </c>
      <c r="K132" s="349">
        <f>J132*D132</f>
        <v>0</v>
      </c>
      <c r="L132" s="350">
        <f>G132+J132</f>
        <v>45080</v>
      </c>
      <c r="M132" s="351">
        <f>D132*L132</f>
        <v>0</v>
      </c>
      <c r="N132" s="258"/>
      <c r="O132" s="258"/>
    </row>
    <row r="133" spans="1:15" s="297" customFormat="1" ht="28" customHeight="1" x14ac:dyDescent="0.3">
      <c r="A133" s="341" t="s">
        <v>204</v>
      </c>
      <c r="B133" s="443" t="s">
        <v>205</v>
      </c>
      <c r="C133" s="87" t="s">
        <v>42</v>
      </c>
      <c r="D133" s="1">
        <v>0</v>
      </c>
      <c r="E133" s="36"/>
      <c r="F133" s="41">
        <v>0.2</v>
      </c>
      <c r="G133" s="348">
        <f>E133/(1-F133)</f>
        <v>0</v>
      </c>
      <c r="H133" s="348">
        <f>140*(20+60+200)</f>
        <v>39200</v>
      </c>
      <c r="I133" s="83">
        <v>0.15</v>
      </c>
      <c r="J133" s="79">
        <f>H133*(1+I133)</f>
        <v>45080</v>
      </c>
      <c r="K133" s="349">
        <f>J133*D133</f>
        <v>0</v>
      </c>
      <c r="L133" s="350">
        <f>G133+J133</f>
        <v>45080</v>
      </c>
      <c r="M133" s="351">
        <f>D133*L133</f>
        <v>0</v>
      </c>
      <c r="N133" s="258"/>
      <c r="O133" s="258"/>
    </row>
    <row r="134" spans="1:15" s="297" customFormat="1" ht="14.15" customHeight="1" x14ac:dyDescent="0.3">
      <c r="A134" s="341" t="s">
        <v>206</v>
      </c>
      <c r="B134" s="443" t="s">
        <v>207</v>
      </c>
      <c r="C134" s="87" t="s">
        <v>42</v>
      </c>
      <c r="D134" s="1">
        <v>0</v>
      </c>
      <c r="E134" s="36">
        <f>35*(50+50)</f>
        <v>3500</v>
      </c>
      <c r="F134" s="41">
        <v>0.2</v>
      </c>
      <c r="G134" s="348">
        <f>E134/(1-F134)</f>
        <v>4375</v>
      </c>
      <c r="H134" s="348">
        <f>5*(50+50+50)</f>
        <v>750</v>
      </c>
      <c r="I134" s="83">
        <v>0.15</v>
      </c>
      <c r="J134" s="79">
        <f>H134*(1+I134)</f>
        <v>862.49999999999989</v>
      </c>
      <c r="K134" s="349">
        <f>J134*D134</f>
        <v>0</v>
      </c>
      <c r="L134" s="350">
        <f>G134+J134</f>
        <v>5237.5</v>
      </c>
      <c r="M134" s="351">
        <f>D134*L134</f>
        <v>0</v>
      </c>
      <c r="N134" s="258"/>
      <c r="O134" s="258"/>
    </row>
    <row r="135" spans="1:15" s="297" customFormat="1" ht="14.5" customHeight="1" thickBot="1" x14ac:dyDescent="0.35">
      <c r="A135" s="381" t="s">
        <v>208</v>
      </c>
      <c r="B135" s="446" t="s">
        <v>209</v>
      </c>
      <c r="C135" s="86" t="s">
        <v>42</v>
      </c>
      <c r="D135" s="50">
        <v>0</v>
      </c>
      <c r="E135" s="51">
        <f>4500*3</f>
        <v>13500</v>
      </c>
      <c r="F135" s="52">
        <v>0.2</v>
      </c>
      <c r="G135" s="376">
        <f>E135/(1-F135)</f>
        <v>16875</v>
      </c>
      <c r="H135" s="376">
        <v>5</v>
      </c>
      <c r="I135" s="84">
        <v>0.15</v>
      </c>
      <c r="J135" s="80">
        <f>H135*(1+I135)</f>
        <v>5.75</v>
      </c>
      <c r="K135" s="382">
        <f>J135*D135</f>
        <v>0</v>
      </c>
      <c r="L135" s="407">
        <f>G135+J135</f>
        <v>16880.75</v>
      </c>
      <c r="M135" s="378">
        <f>D135*L135</f>
        <v>0</v>
      </c>
      <c r="N135" s="258"/>
      <c r="O135" s="258"/>
    </row>
    <row r="136" spans="1:15" s="297" customFormat="1" ht="14.5" customHeight="1" thickBot="1" x14ac:dyDescent="0.35">
      <c r="A136" s="404"/>
      <c r="B136" s="456"/>
      <c r="C136" s="1"/>
      <c r="D136" s="1"/>
      <c r="E136" s="36"/>
      <c r="F136" s="41"/>
      <c r="G136" s="348"/>
      <c r="H136" s="348"/>
      <c r="I136" s="79"/>
      <c r="J136" s="79"/>
      <c r="K136" s="406"/>
      <c r="L136" s="350"/>
      <c r="M136" s="351"/>
      <c r="N136" s="258"/>
      <c r="O136" s="258"/>
    </row>
    <row r="137" spans="1:15" s="297" customFormat="1" ht="14.15" customHeight="1" x14ac:dyDescent="0.3">
      <c r="A137" s="359">
        <v>2.1800000000000002</v>
      </c>
      <c r="B137" s="450"/>
      <c r="C137" s="91"/>
      <c r="D137" s="55" t="s">
        <v>210</v>
      </c>
      <c r="E137" s="56"/>
      <c r="F137" s="57"/>
      <c r="G137" s="361"/>
      <c r="H137" s="361"/>
      <c r="I137" s="56"/>
      <c r="J137" s="56"/>
      <c r="K137" s="362"/>
      <c r="L137" s="363"/>
      <c r="M137" s="363"/>
      <c r="N137" s="258"/>
      <c r="O137" s="258"/>
    </row>
    <row r="138" spans="1:15" s="297" customFormat="1" ht="14.15" customHeight="1" x14ac:dyDescent="0.3">
      <c r="A138" s="341"/>
      <c r="B138" s="454"/>
      <c r="C138" s="87"/>
      <c r="D138" s="1"/>
      <c r="E138" s="36"/>
      <c r="F138" s="41"/>
      <c r="G138" s="348"/>
      <c r="H138" s="348"/>
      <c r="I138" s="79"/>
      <c r="J138" s="79"/>
      <c r="K138" s="349"/>
      <c r="L138" s="350"/>
      <c r="M138" s="351"/>
      <c r="N138" s="258"/>
      <c r="O138" s="258"/>
    </row>
    <row r="139" spans="1:15" s="297" customFormat="1" ht="14.15" customHeight="1" x14ac:dyDescent="0.3">
      <c r="A139" s="341" t="s">
        <v>211</v>
      </c>
      <c r="B139" s="443" t="s">
        <v>243</v>
      </c>
      <c r="C139" s="87" t="s">
        <v>42</v>
      </c>
      <c r="D139" s="1">
        <v>0</v>
      </c>
      <c r="E139" s="36">
        <v>10000</v>
      </c>
      <c r="F139" s="41">
        <v>0.2</v>
      </c>
      <c r="G139" s="348">
        <f>E139/(1-F139)</f>
        <v>12500</v>
      </c>
      <c r="H139" s="348">
        <f>2500*3</f>
        <v>7500</v>
      </c>
      <c r="I139" s="79"/>
      <c r="J139" s="79"/>
      <c r="K139" s="349">
        <f>H139*D139</f>
        <v>0</v>
      </c>
      <c r="L139" s="350">
        <f>G139+J139</f>
        <v>12500</v>
      </c>
      <c r="M139" s="351">
        <f>D139*L139</f>
        <v>0</v>
      </c>
      <c r="N139" s="258"/>
      <c r="O139" s="258"/>
    </row>
    <row r="140" spans="1:15" s="297" customFormat="1" ht="14.5" customHeight="1" thickBot="1" x14ac:dyDescent="0.35">
      <c r="A140" s="381"/>
      <c r="B140" s="411"/>
      <c r="C140" s="50"/>
      <c r="D140" s="50"/>
      <c r="E140" s="51"/>
      <c r="F140" s="52"/>
      <c r="G140" s="376"/>
      <c r="H140" s="376"/>
      <c r="I140" s="80"/>
      <c r="J140" s="80"/>
      <c r="K140" s="382">
        <f>H140*D140</f>
        <v>0</v>
      </c>
      <c r="L140" s="412"/>
      <c r="M140" s="378"/>
      <c r="N140" s="258"/>
      <c r="O140" s="258"/>
    </row>
    <row r="141" spans="1:15" s="297" customFormat="1" ht="14.15" customHeight="1" x14ac:dyDescent="0.3">
      <c r="A141" s="369"/>
      <c r="B141" s="413"/>
      <c r="C141" s="1"/>
      <c r="D141" s="1"/>
      <c r="E141" s="36"/>
      <c r="F141" s="41"/>
      <c r="G141" s="348"/>
      <c r="H141" s="348"/>
      <c r="I141" s="36"/>
      <c r="J141" s="36"/>
      <c r="K141" s="414"/>
      <c r="L141" s="350"/>
      <c r="M141" s="351"/>
      <c r="N141" s="258"/>
      <c r="O141" s="258"/>
    </row>
    <row r="142" spans="1:15" s="297" customFormat="1" ht="14.15" customHeight="1" x14ac:dyDescent="0.3">
      <c r="A142" s="404">
        <v>2.19</v>
      </c>
      <c r="B142" s="455" t="s">
        <v>213</v>
      </c>
      <c r="C142" s="29"/>
      <c r="D142" s="1"/>
      <c r="E142" s="36"/>
      <c r="F142" s="41"/>
      <c r="G142" s="348"/>
      <c r="H142" s="348"/>
      <c r="I142" s="36"/>
      <c r="J142" s="36"/>
      <c r="K142" s="415">
        <f>H142*D142</f>
        <v>0</v>
      </c>
      <c r="L142" s="350"/>
      <c r="M142" s="351"/>
      <c r="N142" s="258"/>
      <c r="O142" s="258"/>
    </row>
    <row r="143" spans="1:15" s="297" customFormat="1" ht="14.15" customHeight="1" x14ac:dyDescent="0.3">
      <c r="A143" s="404" t="s">
        <v>214</v>
      </c>
      <c r="B143" s="443" t="s">
        <v>215</v>
      </c>
      <c r="C143" s="29" t="s">
        <v>42</v>
      </c>
      <c r="D143" s="1">
        <v>1</v>
      </c>
      <c r="E143" s="36">
        <v>25000</v>
      </c>
      <c r="F143" s="41">
        <v>0</v>
      </c>
      <c r="G143" s="348">
        <f>E143/(1-F143)</f>
        <v>25000</v>
      </c>
      <c r="H143" s="348">
        <v>0</v>
      </c>
      <c r="I143" s="36"/>
      <c r="J143" s="36"/>
      <c r="K143" s="415">
        <f>H143*D143</f>
        <v>0</v>
      </c>
      <c r="L143" s="350">
        <f>G143+H143</f>
        <v>25000</v>
      </c>
      <c r="M143" s="351">
        <f>D143*L143</f>
        <v>25000</v>
      </c>
      <c r="N143" s="258"/>
      <c r="O143" s="258"/>
    </row>
    <row r="144" spans="1:15" s="297" customFormat="1" ht="14.15" customHeight="1" x14ac:dyDescent="0.3">
      <c r="A144" s="404"/>
      <c r="B144" s="455"/>
      <c r="C144" s="29"/>
      <c r="D144" s="1"/>
      <c r="E144" s="36"/>
      <c r="F144" s="41"/>
      <c r="G144" s="348"/>
      <c r="H144" s="348"/>
      <c r="I144" s="36"/>
      <c r="J144" s="36"/>
      <c r="K144" s="415"/>
      <c r="L144" s="350"/>
      <c r="M144" s="351"/>
      <c r="N144" s="258"/>
      <c r="O144" s="258"/>
    </row>
    <row r="145" spans="1:15" s="297" customFormat="1" ht="14.15" customHeight="1" x14ac:dyDescent="0.3">
      <c r="A145" s="416">
        <v>2.2000000000000002</v>
      </c>
      <c r="B145" s="455" t="s">
        <v>216</v>
      </c>
      <c r="C145" s="29"/>
      <c r="D145" s="1"/>
      <c r="E145" s="36"/>
      <c r="F145" s="41"/>
      <c r="G145" s="348"/>
      <c r="H145" s="348"/>
      <c r="I145" s="36"/>
      <c r="J145" s="36"/>
      <c r="K145" s="415">
        <f>H145*D145</f>
        <v>0</v>
      </c>
      <c r="L145" s="350"/>
      <c r="M145" s="351"/>
      <c r="N145" s="258"/>
      <c r="O145" s="258"/>
    </row>
    <row r="146" spans="1:15" s="297" customFormat="1" ht="14.15" customHeight="1" x14ac:dyDescent="0.3">
      <c r="A146" s="404" t="s">
        <v>217</v>
      </c>
      <c r="B146" s="443" t="s">
        <v>218</v>
      </c>
      <c r="C146" s="29" t="s">
        <v>42</v>
      </c>
      <c r="D146" s="1">
        <v>1</v>
      </c>
      <c r="E146" s="36">
        <f>15000</f>
        <v>15000</v>
      </c>
      <c r="F146" s="41">
        <v>0</v>
      </c>
      <c r="G146" s="348">
        <f>E146/(1-F146)</f>
        <v>15000</v>
      </c>
      <c r="H146" s="348">
        <v>0</v>
      </c>
      <c r="I146" s="36"/>
      <c r="J146" s="36"/>
      <c r="K146" s="415">
        <f>H146*D146</f>
        <v>0</v>
      </c>
      <c r="L146" s="350">
        <f>G146+H146</f>
        <v>15000</v>
      </c>
      <c r="M146" s="351">
        <f>D146*L146</f>
        <v>15000</v>
      </c>
      <c r="N146" s="258"/>
      <c r="O146" s="258"/>
    </row>
    <row r="147" spans="1:15" s="297" customFormat="1" ht="14.15" customHeight="1" x14ac:dyDescent="0.3">
      <c r="A147" s="404"/>
      <c r="B147" s="455"/>
      <c r="C147" s="29"/>
      <c r="D147" s="1"/>
      <c r="E147" s="36"/>
      <c r="F147" s="41"/>
      <c r="G147" s="348"/>
      <c r="H147" s="348"/>
      <c r="I147" s="36"/>
      <c r="J147" s="36"/>
      <c r="K147" s="415"/>
      <c r="L147" s="350"/>
      <c r="M147" s="351"/>
      <c r="N147" s="258"/>
      <c r="O147" s="258"/>
    </row>
    <row r="148" spans="1:15" s="297" customFormat="1" ht="14.15" customHeight="1" x14ac:dyDescent="0.3">
      <c r="A148" s="404">
        <v>2.21</v>
      </c>
      <c r="B148" s="455" t="s">
        <v>219</v>
      </c>
      <c r="C148" s="29"/>
      <c r="D148" s="1"/>
      <c r="E148" s="36"/>
      <c r="F148" s="41"/>
      <c r="G148" s="348"/>
      <c r="H148" s="348"/>
      <c r="I148" s="36"/>
      <c r="J148" s="36"/>
      <c r="K148" s="415">
        <f>H148*D148</f>
        <v>0</v>
      </c>
      <c r="L148" s="350"/>
      <c r="M148" s="351"/>
      <c r="N148" s="258"/>
      <c r="O148" s="258"/>
    </row>
    <row r="149" spans="1:15" ht="14.15" customHeight="1" x14ac:dyDescent="0.3">
      <c r="A149" s="404" t="s">
        <v>220</v>
      </c>
      <c r="B149" s="443" t="s">
        <v>221</v>
      </c>
      <c r="C149" s="29" t="s">
        <v>42</v>
      </c>
      <c r="D149" s="1">
        <v>1</v>
      </c>
      <c r="E149" s="36">
        <f>5000</f>
        <v>5000</v>
      </c>
      <c r="F149" s="41">
        <v>0</v>
      </c>
      <c r="G149" s="348">
        <f>E149/(1-F149)</f>
        <v>5000</v>
      </c>
      <c r="H149" s="348">
        <v>0</v>
      </c>
      <c r="I149" s="36"/>
      <c r="J149" s="36"/>
      <c r="K149" s="415">
        <f>H149*D149</f>
        <v>0</v>
      </c>
      <c r="L149" s="350">
        <f>G149+H149</f>
        <v>5000</v>
      </c>
      <c r="M149" s="351">
        <f>D149*L149</f>
        <v>5000</v>
      </c>
      <c r="N149" s="258"/>
      <c r="O149" s="258"/>
    </row>
    <row r="150" spans="1:15" ht="14.15" customHeight="1" x14ac:dyDescent="0.3">
      <c r="A150" s="404" t="s">
        <v>222</v>
      </c>
      <c r="B150" s="443" t="s">
        <v>223</v>
      </c>
      <c r="C150" s="29" t="s">
        <v>42</v>
      </c>
      <c r="D150" s="1">
        <v>1</v>
      </c>
      <c r="E150" s="36">
        <f>50000</f>
        <v>50000</v>
      </c>
      <c r="F150" s="41">
        <v>0</v>
      </c>
      <c r="G150" s="348">
        <f>E150/(1-F150)</f>
        <v>50000</v>
      </c>
      <c r="H150" s="348">
        <v>0</v>
      </c>
      <c r="I150" s="36"/>
      <c r="J150" s="36"/>
      <c r="K150" s="415">
        <f>H150*D150</f>
        <v>0</v>
      </c>
      <c r="L150" s="350">
        <f>G150+H150</f>
        <v>50000</v>
      </c>
      <c r="M150" s="351">
        <f>D150*L150</f>
        <v>50000</v>
      </c>
      <c r="N150" s="258"/>
      <c r="O150" s="258"/>
    </row>
    <row r="151" spans="1:15" ht="14.15" customHeight="1" x14ac:dyDescent="0.3">
      <c r="A151" s="404"/>
      <c r="B151" s="413"/>
      <c r="C151" s="28"/>
      <c r="D151" s="1"/>
      <c r="E151" s="36"/>
      <c r="F151" s="41"/>
      <c r="G151" s="348"/>
      <c r="H151" s="348"/>
      <c r="I151" s="36"/>
      <c r="J151" s="36"/>
      <c r="K151" s="415"/>
      <c r="L151" s="350"/>
      <c r="M151" s="351"/>
      <c r="N151" s="258"/>
      <c r="O151" s="258"/>
    </row>
    <row r="152" spans="1:15" ht="14.15" customHeight="1" x14ac:dyDescent="0.3">
      <c r="A152" s="404">
        <v>2.2200000000000002</v>
      </c>
      <c r="B152" s="455" t="s">
        <v>224</v>
      </c>
      <c r="C152" s="28"/>
      <c r="D152" s="1"/>
      <c r="E152" s="36"/>
      <c r="F152" s="41"/>
      <c r="G152" s="348"/>
      <c r="H152" s="348"/>
      <c r="I152" s="36"/>
      <c r="J152" s="36"/>
      <c r="K152" s="415">
        <f>H152*D152</f>
        <v>0</v>
      </c>
      <c r="L152" s="350"/>
      <c r="M152" s="351"/>
      <c r="N152" s="258"/>
      <c r="O152" s="258"/>
    </row>
    <row r="153" spans="1:15" ht="14.15" customHeight="1" x14ac:dyDescent="0.3">
      <c r="A153" s="404"/>
      <c r="B153" s="413"/>
      <c r="C153" s="28"/>
      <c r="D153" s="1"/>
      <c r="E153" s="36"/>
      <c r="F153" s="41"/>
      <c r="G153" s="348"/>
      <c r="H153" s="348"/>
      <c r="I153" s="36"/>
      <c r="J153" s="36"/>
      <c r="K153" s="415">
        <f>H153*D153</f>
        <v>0</v>
      </c>
      <c r="L153" s="350"/>
      <c r="M153" s="351"/>
      <c r="N153" s="258"/>
      <c r="O153" s="258"/>
    </row>
    <row r="154" spans="1:15" ht="28" customHeight="1" x14ac:dyDescent="0.3">
      <c r="A154" s="404" t="s">
        <v>225</v>
      </c>
      <c r="B154" s="443" t="s">
        <v>226</v>
      </c>
      <c r="C154" s="1" t="s">
        <v>42</v>
      </c>
      <c r="D154" s="1">
        <v>1</v>
      </c>
      <c r="E154" s="36">
        <f>5000*3</f>
        <v>15000</v>
      </c>
      <c r="F154" s="41">
        <v>0.2</v>
      </c>
      <c r="G154" s="348">
        <f>E154/(1-F154)</f>
        <v>18750</v>
      </c>
      <c r="H154" s="348">
        <v>1</v>
      </c>
      <c r="I154" s="36"/>
      <c r="J154" s="36"/>
      <c r="K154" s="415">
        <f>H154*D154</f>
        <v>1</v>
      </c>
      <c r="L154" s="350">
        <f>G154+H154</f>
        <v>18751</v>
      </c>
      <c r="M154" s="351">
        <f>D154*L154</f>
        <v>18751</v>
      </c>
      <c r="N154" s="258"/>
      <c r="O154" s="258"/>
    </row>
    <row r="155" spans="1:15" ht="14.15" customHeight="1" x14ac:dyDescent="0.3">
      <c r="A155" s="404"/>
      <c r="B155" s="413"/>
      <c r="C155" s="28"/>
      <c r="D155" s="1"/>
      <c r="E155" s="36"/>
      <c r="F155" s="41"/>
      <c r="G155" s="348"/>
      <c r="H155" s="348"/>
      <c r="I155" s="36"/>
      <c r="J155" s="36"/>
      <c r="K155" s="417"/>
      <c r="L155" s="350"/>
      <c r="M155" s="418"/>
      <c r="N155" s="258"/>
      <c r="O155" s="258"/>
    </row>
    <row r="156" spans="1:15" ht="14.5" customHeight="1" thickBot="1" x14ac:dyDescent="0.35">
      <c r="A156" s="440"/>
      <c r="B156" s="413"/>
      <c r="C156" s="28"/>
      <c r="D156" s="1"/>
      <c r="E156" s="36"/>
      <c r="F156" s="41"/>
      <c r="G156" s="348"/>
      <c r="H156" s="348"/>
      <c r="I156" s="36"/>
      <c r="J156" s="36"/>
      <c r="K156" s="417"/>
      <c r="L156" s="350"/>
      <c r="M156" s="418"/>
      <c r="N156" s="258"/>
      <c r="O156" s="258"/>
    </row>
    <row r="157" spans="1:15" ht="18.75" customHeight="1" thickTop="1" x14ac:dyDescent="0.3">
      <c r="A157" s="419"/>
      <c r="B157" s="457" t="s">
        <v>227</v>
      </c>
      <c r="C157" s="2"/>
      <c r="D157" s="2"/>
      <c r="E157" s="39"/>
      <c r="F157" s="42"/>
      <c r="G157" s="421"/>
      <c r="H157" s="421"/>
      <c r="I157" s="39"/>
      <c r="J157" s="39"/>
      <c r="K157" s="422">
        <f>SUM(K11:K154)</f>
        <v>275575.5</v>
      </c>
      <c r="L157" s="458"/>
      <c r="M157" s="424">
        <f>SUM(M11:M156)</f>
        <v>2200676.1408333331</v>
      </c>
      <c r="N157" s="518">
        <f>M157*1.15</f>
        <v>2530777.561958333</v>
      </c>
      <c r="O157" s="258"/>
    </row>
    <row r="158" spans="1:15" ht="16.5" customHeight="1" x14ac:dyDescent="0.3">
      <c r="A158" s="426"/>
      <c r="B158" s="427"/>
      <c r="C158" s="257"/>
      <c r="D158" s="47"/>
      <c r="E158" s="250"/>
      <c r="F158" s="48"/>
      <c r="G158" s="428"/>
      <c r="H158" s="428"/>
      <c r="I158" s="250"/>
      <c r="J158" s="250"/>
      <c r="K158" s="429"/>
      <c r="L158" s="430"/>
      <c r="M158" s="431"/>
      <c r="N158" s="258"/>
      <c r="O158" s="258"/>
    </row>
    <row r="159" spans="1:15" ht="18.75" customHeight="1" x14ac:dyDescent="0.3">
      <c r="A159" s="258"/>
      <c r="B159" s="387"/>
      <c r="C159" s="34"/>
      <c r="D159" s="249"/>
      <c r="E159" s="249"/>
      <c r="F159" s="249"/>
      <c r="G159" s="432"/>
      <c r="H159" s="432"/>
      <c r="I159" s="249"/>
      <c r="J159" s="249"/>
      <c r="K159" s="432"/>
      <c r="L159" s="433"/>
      <c r="M159" s="434"/>
      <c r="N159" s="258"/>
      <c r="O159" s="258"/>
    </row>
    <row r="160" spans="1:15" ht="18.75" customHeight="1" x14ac:dyDescent="0.25">
      <c r="A160" s="258"/>
      <c r="B160" s="258"/>
      <c r="G160" s="258"/>
      <c r="H160" s="258"/>
      <c r="K160" s="258"/>
      <c r="L160" s="258"/>
      <c r="M160" s="258"/>
      <c r="N160" s="258"/>
      <c r="O160" s="258"/>
    </row>
    <row r="161" spans="1:15" ht="18.75" customHeight="1" x14ac:dyDescent="0.25">
      <c r="A161" s="258"/>
      <c r="B161" s="258"/>
      <c r="G161" s="258"/>
      <c r="H161" s="258"/>
      <c r="K161" s="258"/>
      <c r="L161" s="258"/>
      <c r="M161" s="258"/>
      <c r="N161" s="258"/>
      <c r="O161" s="258"/>
    </row>
    <row r="162" spans="1:15" ht="18.75" customHeight="1" x14ac:dyDescent="0.25">
      <c r="A162" s="258"/>
      <c r="B162" s="258"/>
      <c r="G162" s="258"/>
      <c r="H162" s="258"/>
      <c r="K162" s="258"/>
      <c r="L162" s="258"/>
      <c r="M162" s="258"/>
      <c r="N162" s="258"/>
      <c r="O162" s="258"/>
    </row>
    <row r="163" spans="1:15" ht="18.75" customHeight="1" x14ac:dyDescent="0.25">
      <c r="A163" s="258"/>
      <c r="B163" s="258"/>
      <c r="G163" s="258"/>
      <c r="H163" s="258"/>
      <c r="K163" s="258"/>
      <c r="L163" s="258"/>
      <c r="M163" s="258"/>
      <c r="N163" s="258"/>
      <c r="O163" s="258"/>
    </row>
    <row r="164" spans="1:15" ht="18.75" customHeight="1" x14ac:dyDescent="0.25">
      <c r="A164" s="258"/>
      <c r="B164" s="258"/>
      <c r="G164" s="258"/>
      <c r="H164" s="258"/>
      <c r="K164" s="258"/>
      <c r="L164" s="258"/>
      <c r="M164" s="258"/>
      <c r="N164" s="258"/>
      <c r="O164" s="258"/>
    </row>
    <row r="165" spans="1:15" ht="18.75" customHeight="1" x14ac:dyDescent="0.25">
      <c r="A165" s="258"/>
      <c r="B165" s="258"/>
      <c r="G165" s="258"/>
      <c r="H165" s="258"/>
      <c r="K165" s="258"/>
      <c r="L165" s="258"/>
      <c r="M165" s="258"/>
      <c r="N165" s="258"/>
      <c r="O165" s="258"/>
    </row>
    <row r="166" spans="1:15" ht="18.75" customHeight="1" x14ac:dyDescent="0.25">
      <c r="A166" s="258"/>
      <c r="B166" s="258"/>
      <c r="G166" s="258"/>
      <c r="H166" s="258"/>
      <c r="K166" s="258"/>
      <c r="L166" s="258"/>
      <c r="M166" s="258"/>
      <c r="N166" s="258"/>
      <c r="O166" s="258"/>
    </row>
    <row r="167" spans="1:15" ht="18.75" customHeight="1" x14ac:dyDescent="0.25">
      <c r="A167" s="258"/>
      <c r="B167" s="258"/>
      <c r="G167" s="258"/>
      <c r="H167" s="258"/>
      <c r="K167" s="258"/>
      <c r="L167" s="258"/>
      <c r="M167" s="258"/>
      <c r="N167" s="258"/>
      <c r="O167" s="258"/>
    </row>
    <row r="168" spans="1:15" ht="18.75" customHeight="1" x14ac:dyDescent="0.25">
      <c r="A168" s="258"/>
      <c r="B168" s="258"/>
      <c r="G168" s="258"/>
      <c r="H168" s="258"/>
      <c r="K168" s="258"/>
      <c r="L168" s="258"/>
      <c r="M168" s="258"/>
      <c r="N168" s="258"/>
      <c r="O168" s="258"/>
    </row>
    <row r="169" spans="1:15" s="8" customFormat="1" ht="18.75" customHeight="1" x14ac:dyDescent="0.25">
      <c r="A169" s="258"/>
      <c r="B169" s="435"/>
      <c r="C169" s="35"/>
      <c r="G169" s="258"/>
      <c r="H169" s="258"/>
      <c r="K169" s="258"/>
      <c r="L169" s="436"/>
      <c r="M169" s="437"/>
      <c r="N169" s="258"/>
      <c r="O169" s="258"/>
    </row>
    <row r="170" spans="1:15" s="8" customFormat="1" ht="18.75" customHeight="1" x14ac:dyDescent="0.25">
      <c r="A170" s="258"/>
      <c r="B170" s="435"/>
      <c r="C170" s="35"/>
      <c r="G170" s="258"/>
      <c r="H170" s="258"/>
      <c r="K170" s="258"/>
      <c r="L170" s="436"/>
      <c r="M170" s="437"/>
      <c r="N170" s="258"/>
      <c r="O170" s="258"/>
    </row>
    <row r="171" spans="1:15" s="8" customFormat="1" ht="18.75" customHeight="1" x14ac:dyDescent="0.25">
      <c r="A171" s="258"/>
      <c r="B171" s="435"/>
      <c r="C171" s="35"/>
      <c r="G171" s="258"/>
      <c r="H171" s="258"/>
      <c r="K171" s="258"/>
      <c r="L171" s="436"/>
      <c r="M171" s="437"/>
      <c r="N171" s="258"/>
      <c r="O171" s="258"/>
    </row>
    <row r="172" spans="1:15" s="8" customFormat="1" ht="18.75" customHeight="1" x14ac:dyDescent="0.25">
      <c r="A172" s="258"/>
      <c r="B172" s="435"/>
      <c r="C172" s="35"/>
      <c r="G172" s="258"/>
      <c r="H172" s="258"/>
      <c r="K172" s="258"/>
      <c r="L172" s="436"/>
      <c r="M172" s="437"/>
      <c r="N172" s="258"/>
      <c r="O172" s="258"/>
    </row>
    <row r="173" spans="1:15" s="8" customFormat="1" ht="18.75" customHeight="1" x14ac:dyDescent="0.25">
      <c r="A173" s="258"/>
      <c r="B173" s="435"/>
      <c r="C173" s="35"/>
      <c r="G173" s="258"/>
      <c r="H173" s="258"/>
      <c r="K173" s="258"/>
      <c r="L173" s="436"/>
      <c r="M173" s="437"/>
      <c r="N173" s="258"/>
      <c r="O173" s="258"/>
    </row>
    <row r="174" spans="1:15" s="8" customFormat="1" ht="18.75" customHeight="1" x14ac:dyDescent="0.25">
      <c r="A174" s="258"/>
      <c r="B174" s="435"/>
      <c r="C174" s="35"/>
      <c r="G174" s="258"/>
      <c r="H174" s="258"/>
      <c r="K174" s="258"/>
      <c r="L174" s="436"/>
      <c r="M174" s="437"/>
      <c r="N174" s="258"/>
      <c r="O174" s="258"/>
    </row>
    <row r="175" spans="1:15" s="8" customFormat="1" ht="18.75" customHeight="1" x14ac:dyDescent="0.25">
      <c r="A175" s="258"/>
      <c r="B175" s="435"/>
      <c r="C175" s="35"/>
      <c r="G175" s="258"/>
      <c r="H175" s="258"/>
      <c r="K175" s="258"/>
      <c r="L175" s="436"/>
      <c r="M175" s="437"/>
      <c r="N175" s="258"/>
      <c r="O175" s="258"/>
    </row>
  </sheetData>
  <sheetProtection password="CEF9" sheet="1"/>
  <mergeCells count="2">
    <mergeCell ref="A1:O1"/>
    <mergeCell ref="A2:N2"/>
  </mergeCells>
  <pageMargins left="0.45" right="0.45" top="0.5" bottom="0.5" header="0.3" footer="0.3"/>
  <pageSetup paperSize="9" scale="29" orientation="portrait" r:id="rId1"/>
  <headerFooter>
    <oddHeader>&amp;C&amp;"Aptos"&amp;10&amp;K000000 Confidential&amp;1#_x000D_&amp;"Arialri"&amp;10&amp;K000000&amp;"Aptos"&amp;1 &amp;K000000 Confidential#_x000D_</oddHeader>
    <oddFooter>&amp;R&amp;"Aptos"&amp;10 &amp;K000000_x000D_# Confidential_x000D_&amp;1#&amp;"Aptos"&amp;10&amp;K000000 Confidential</oddFooter>
  </headerFooter>
  <colBreaks count="1" manualBreakCount="1">
    <brk id="11" max="13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0BC88767C9F24E8F85E275EA430B10" ma:contentTypeVersion="3" ma:contentTypeDescription="Create a new document." ma:contentTypeScope="" ma:versionID="93f4190dae05b8fe7a01255c898908c6">
  <xsd:schema xmlns:xsd="http://www.w3.org/2001/XMLSchema" xmlns:xs="http://www.w3.org/2001/XMLSchema" xmlns:p="http://schemas.microsoft.com/office/2006/metadata/properties" xmlns:ns1="http://schemas.microsoft.com/sharepoint/v3" xmlns:ns2="961595e2-a806-4ff5-87d5-1072dce433b4" targetNamespace="http://schemas.microsoft.com/office/2006/metadata/properties" ma:root="true" ma:fieldsID="a1f73f7c1500c6b2001d207e646b2a6d" ns1:_="" ns2:_="">
    <xsd:import namespace="http://schemas.microsoft.com/sharepoint/v3"/>
    <xsd:import namespace="961595e2-a806-4ff5-87d5-1072dce433b4"/>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61595e2-a806-4ff5-87d5-1072dce433b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58E14FB-9ACA-4167-BEF3-B1331EFB5C14}"/>
</file>

<file path=customXml/itemProps2.xml><?xml version="1.0" encoding="utf-8"?>
<ds:datastoreItem xmlns:ds="http://schemas.openxmlformats.org/officeDocument/2006/customXml" ds:itemID="{B2A60E10-6A0E-4433-86C4-936E76F4058B}"/>
</file>

<file path=customXml/itemProps3.xml><?xml version="1.0" encoding="utf-8"?>
<ds:datastoreItem xmlns:ds="http://schemas.openxmlformats.org/officeDocument/2006/customXml" ds:itemID="{1CFCC885-6CA5-460E-9ED5-C6AFF95F845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33</vt:i4>
      </vt:variant>
      <vt:variant>
        <vt:lpstr>Named Ranges</vt:lpstr>
      </vt:variant>
      <vt:variant>
        <vt:i4>33</vt:i4>
      </vt:variant>
    </vt:vector>
  </HeadingPairs>
  <TitlesOfParts>
    <vt:vector size="66" baseType="lpstr">
      <vt:lpstr>SUMMARY</vt:lpstr>
      <vt:lpstr>SECTION 1-P&amp;G</vt:lpstr>
      <vt:lpstr>SECT 2- L Block Old </vt:lpstr>
      <vt:lpstr>SECT 2- L Block Old - 0 PV</vt:lpstr>
      <vt:lpstr>SECT 2- L Block Old - 0PV&amp;2.5hr</vt:lpstr>
      <vt:lpstr>SECT 2- L Block New</vt:lpstr>
      <vt:lpstr>SECT 2- L Block New - 0PV</vt:lpstr>
      <vt:lpstr>SECT 2- L Block New - 0PV&amp;2.5hr</vt:lpstr>
      <vt:lpstr>SECT 2- N Block</vt:lpstr>
      <vt:lpstr>SECT 2- N Block 0PV&amp;2.5hr</vt:lpstr>
      <vt:lpstr>SECT 2- MSP LV SR</vt:lpstr>
      <vt:lpstr>SECT 3 - ATC LV SR</vt:lpstr>
      <vt:lpstr>SECT 4- AIRSIDE SS 1</vt:lpstr>
      <vt:lpstr>SECT 5- AIRSIDE SS 2</vt:lpstr>
      <vt:lpstr>SECT 6- AIRSIDE SS 3</vt:lpstr>
      <vt:lpstr>SECT 7- AIRSIDE SS 4</vt:lpstr>
      <vt:lpstr>SECT 8- TERMINAL BDG SS A2</vt:lpstr>
      <vt:lpstr>SECT 9- SKY TANK FSD 2</vt:lpstr>
      <vt:lpstr>SECT 10 - SKY TANK FFD</vt:lpstr>
      <vt:lpstr>SECT 11 - GENERAL</vt:lpstr>
      <vt:lpstr>SECT 2- NW Block</vt:lpstr>
      <vt:lpstr>SECT 2- NW Block - 0 PV</vt:lpstr>
      <vt:lpstr>SECT 2- NW Block - 0PV&amp;2.5hr</vt:lpstr>
      <vt:lpstr>SECT 2- D Block</vt:lpstr>
      <vt:lpstr>SECT 2- D Block -0 PV</vt:lpstr>
      <vt:lpstr>SECT 2- D Block -0PV&amp;2.5hr</vt:lpstr>
      <vt:lpstr>SECT 2- C Block Max PV + Bat</vt:lpstr>
      <vt:lpstr>SECT 2- C Block 0 PV+4h Bat</vt:lpstr>
      <vt:lpstr>SECT 2- C Block 0 PV&amp;Bat 2.5h</vt:lpstr>
      <vt:lpstr>SECT 2- C Block MaxPV&amp;Bat 2.5hr</vt:lpstr>
      <vt:lpstr>SECT 2- Old Engineering Block</vt:lpstr>
      <vt:lpstr>SECT 2- Old Engineering 2.5hr</vt:lpstr>
      <vt:lpstr>SECT 2- Old Engineering 0PV&amp;2.5</vt:lpstr>
      <vt:lpstr>'SECT 10 - SKY TANK FFD'!Print_Area</vt:lpstr>
      <vt:lpstr>'SECT 11 - GENERAL'!Print_Area</vt:lpstr>
      <vt:lpstr>'SECT 2- C Block 0 PV&amp;Bat 2.5h'!Print_Area</vt:lpstr>
      <vt:lpstr>'SECT 2- C Block 0 PV+4h Bat'!Print_Area</vt:lpstr>
      <vt:lpstr>'SECT 2- C Block Max PV + Bat'!Print_Area</vt:lpstr>
      <vt:lpstr>'SECT 2- C Block MaxPV&amp;Bat 2.5hr'!Print_Area</vt:lpstr>
      <vt:lpstr>'SECT 2- D Block'!Print_Area</vt:lpstr>
      <vt:lpstr>'SECT 2- D Block -0 PV'!Print_Area</vt:lpstr>
      <vt:lpstr>'SECT 2- D Block -0PV&amp;2.5hr'!Print_Area</vt:lpstr>
      <vt:lpstr>'SECT 2- L Block New'!Print_Area</vt:lpstr>
      <vt:lpstr>'SECT 2- L Block New - 0PV'!Print_Area</vt:lpstr>
      <vt:lpstr>'SECT 2- L Block New - 0PV&amp;2.5hr'!Print_Area</vt:lpstr>
      <vt:lpstr>'SECT 2- L Block Old '!Print_Area</vt:lpstr>
      <vt:lpstr>'SECT 2- L Block Old - 0 PV'!Print_Area</vt:lpstr>
      <vt:lpstr>'SECT 2- L Block Old - 0PV&amp;2.5hr'!Print_Area</vt:lpstr>
      <vt:lpstr>'SECT 2- MSP LV SR'!Print_Area</vt:lpstr>
      <vt:lpstr>'SECT 2- N Block'!Print_Area</vt:lpstr>
      <vt:lpstr>'SECT 2- N Block 0PV&amp;2.5hr'!Print_Area</vt:lpstr>
      <vt:lpstr>'SECT 2- NW Block'!Print_Area</vt:lpstr>
      <vt:lpstr>'SECT 2- NW Block - 0 PV'!Print_Area</vt:lpstr>
      <vt:lpstr>'SECT 2- NW Block - 0PV&amp;2.5hr'!Print_Area</vt:lpstr>
      <vt:lpstr>'SECT 2- Old Engineering 0PV&amp;2.5'!Print_Area</vt:lpstr>
      <vt:lpstr>'SECT 2- Old Engineering 2.5hr'!Print_Area</vt:lpstr>
      <vt:lpstr>'SECT 2- Old Engineering Block'!Print_Area</vt:lpstr>
      <vt:lpstr>'SECT 3 - ATC LV SR'!Print_Area</vt:lpstr>
      <vt:lpstr>'SECT 4- AIRSIDE SS 1'!Print_Area</vt:lpstr>
      <vt:lpstr>'SECT 5- AIRSIDE SS 2'!Print_Area</vt:lpstr>
      <vt:lpstr>'SECT 6- AIRSIDE SS 3'!Print_Area</vt:lpstr>
      <vt:lpstr>'SECT 7- AIRSIDE SS 4'!Print_Area</vt:lpstr>
      <vt:lpstr>'SECT 8- TERMINAL BDG SS A2'!Print_Area</vt:lpstr>
      <vt:lpstr>'SECT 9- SKY TANK FSD 2'!Print_Area</vt:lpstr>
      <vt:lpstr>'SECTION 1-P&amp;G'!Print_Area</vt:lpstr>
      <vt:lpstr>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Pumelo Mpaka</dc:creator>
  <cp:keywords/>
  <dc:description/>
  <cp:lastModifiedBy>Maliga Gounden</cp:lastModifiedBy>
  <cp:revision/>
  <cp:lastPrinted>2026-10-09T13:34:26Z</cp:lastPrinted>
  <dcterms:created xsi:type="dcterms:W3CDTF">2026-07-16T19:12:47Z</dcterms:created>
  <dcterms:modified xsi:type="dcterms:W3CDTF">2026-10-09T15:33:50Z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0x010100D10BC88767C9F24E8F85E275EA430B10</vt:lpwstr>
  </property>
  <property fmtid="{D5CDD505-2E9C-101B-9397-08002B2CF9AE}" pid="3" name="MSIP_Label_a11864d1-c16a-45ad-949f-bdea3b8c9e66_Enabled">
    <vt:lpwstr>true</vt:lpwstr>
  </property>
  <property fmtid="{D5CDD505-2E9C-101B-9397-08002B2CF9AE}" pid="4" name="MSIP_Label_a11864d1-c16a-45ad-949f-bdea3b8c9e66_SetDate">
    <vt:lpwstr>2026-07-16T19:18:06Z</vt:lpwstr>
  </property>
  <property fmtid="{D5CDD505-2E9C-101B-9397-08002B2CF9AE}" pid="5" name="MSIP_Label_a11864d1-c16a-45ad-949f-bdea3b8c9e66_Method">
    <vt:lpwstr>Standard</vt:lpwstr>
  </property>
  <property fmtid="{D5CDD505-2E9C-101B-9397-08002B2CF9AE}" pid="6" name="MSIP_Label_a11864d1-c16a-45ad-949f-bdea3b8c9e66_Name">
    <vt:lpwstr>Confidential</vt:lpwstr>
  </property>
  <property fmtid="{D5CDD505-2E9C-101B-9397-08002B2CF9AE}" pid="7" name="MSIP_Label_a11864d1-c16a-45ad-949f-bdea3b8c9e66_SiteId">
    <vt:lpwstr>fb62d46e-e86e-4673-ba82-b27b61d8202b</vt:lpwstr>
  </property>
  <property fmtid="{D5CDD505-2E9C-101B-9397-08002B2CF9AE}" pid="8" name="MSIP_Label_a11864d1-c16a-45ad-949f-bdea3b8c9e66_ActionId">
    <vt:lpwstr>6b5c323e-6660-47d2-b281-e924d3d348d1</vt:lpwstr>
  </property>
  <property fmtid="{D5CDD505-2E9C-101B-9397-08002B2CF9AE}" pid="9" name="MSIP_Label_a11864d1-c16a-45ad-949f-bdea3b8c9e66_ContentBits">
    <vt:lpwstr>3</vt:lpwstr>
  </property>
  <property fmtid="{D5CDD505-2E9C-101B-9397-08002B2CF9AE}" pid="10" name="MSIP_Label_a11864d1-c16a-45ad-949f-bdea3b8c9e66_Tag">
    <vt:lpwstr>10, 3, 0, 1</vt:lpwstr>
  </property>
  <property fmtid="{D5CDD505-2E9C-101B-9397-08002B2CF9AE}" pid="11" name="SV_QUERY_LIST_4F35BF76-6C0D-4D9B-82B2-816C12CF3733">
    <vt:lpwstr>empty_477D106A-C0D6-4607-AEBD-E2C9D60EA279</vt:lpwstr>
  </property>
  <property fmtid="{D5CDD505-2E9C-101B-9397-08002B2CF9AE}" pid="12" name="SV_HIDDEN_GRID_QUERY_LIST_4F35BF76-6C0D-4D9B-82B2-816C12CF3733">
    <vt:lpwstr>empty_477D106A-C0D6-4607-AEBD-E2C9D60EA279</vt:lpwstr>
  </property>
</Properties>
</file>